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25" windowWidth="7980" windowHeight="5895" firstSheet="1" activeTab="6"/>
  </bookViews>
  <sheets>
    <sheet name="2004-2005 per CZ" sheetId="1" r:id="rId1"/>
    <sheet name="Assegnazione Preventivisti" sheetId="2" r:id="rId2"/>
    <sheet name="Stampare" sheetId="3" r:id="rId3"/>
    <sheet name="11PrevDedicati" sheetId="4" r:id="rId4"/>
    <sheet name="16PrevNonDedic" sheetId="5" r:id="rId5"/>
    <sheet name="km Percorsi" sheetId="6" r:id="rId6"/>
    <sheet name="Incrocio CSF-KPI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<sst xmlns="http://schemas.openxmlformats.org/spreadsheetml/2006/main" count="1887" uniqueCount="376">
  <si>
    <t>CZ</t>
  </si>
  <si>
    <t xml:space="preserve">Comune </t>
  </si>
  <si>
    <t>EMPOLI</t>
  </si>
  <si>
    <t>Capraia e Limite</t>
  </si>
  <si>
    <t>Cerreto Guidi</t>
  </si>
  <si>
    <t>LUCCA</t>
  </si>
  <si>
    <t>Empoli</t>
  </si>
  <si>
    <t>PISA</t>
  </si>
  <si>
    <t>Fucecchio</t>
  </si>
  <si>
    <t>PONTEDERA</t>
  </si>
  <si>
    <t>Montelupo Fiorentino</t>
  </si>
  <si>
    <t>VALDELSA</t>
  </si>
  <si>
    <t>Montespertoli</t>
  </si>
  <si>
    <t>VALDINIEVOLE</t>
  </si>
  <si>
    <t>San Miniato</t>
  </si>
  <si>
    <t>Vinci</t>
  </si>
  <si>
    <t>Altopascio</t>
  </si>
  <si>
    <t>Capannori</t>
  </si>
  <si>
    <t>Chiesina Uzzanese</t>
  </si>
  <si>
    <t>Montecarlo</t>
  </si>
  <si>
    <t>Pescia</t>
  </si>
  <si>
    <t>Porcari</t>
  </si>
  <si>
    <t>Villa Basilica</t>
  </si>
  <si>
    <t>Buti</t>
  </si>
  <si>
    <t>Calci</t>
  </si>
  <si>
    <t>Cascina</t>
  </si>
  <si>
    <t>Pisa</t>
  </si>
  <si>
    <t>San Giuliano</t>
  </si>
  <si>
    <t>Vecchiano</t>
  </si>
  <si>
    <t>Vicopisano</t>
  </si>
  <si>
    <t>Bientina</t>
  </si>
  <si>
    <t>Calcinaia</t>
  </si>
  <si>
    <t>Capannoli</t>
  </si>
  <si>
    <t>Casciana Terme</t>
  </si>
  <si>
    <t>Castelfranco di Sotto</t>
  </si>
  <si>
    <t>Chianni</t>
  </si>
  <si>
    <t>Crespina</t>
  </si>
  <si>
    <t>Fauglia</t>
  </si>
  <si>
    <t>Laiatico</t>
  </si>
  <si>
    <t>Lari</t>
  </si>
  <si>
    <t>Lorenzana</t>
  </si>
  <si>
    <t>Montopoli in Val d'Arno</t>
  </si>
  <si>
    <t>Palaia</t>
  </si>
  <si>
    <t>Peccioli</t>
  </si>
  <si>
    <t>Ponsacco</t>
  </si>
  <si>
    <t>Pontedera</t>
  </si>
  <si>
    <t>S.Croce Sull'Arno</t>
  </si>
  <si>
    <t>S. Maria a Monte</t>
  </si>
  <si>
    <t>Terricciola</t>
  </si>
  <si>
    <t>Castelfiorentino</t>
  </si>
  <si>
    <t>Certaldo</t>
  </si>
  <si>
    <t>Gambassi Terme</t>
  </si>
  <si>
    <t>Montaione</t>
  </si>
  <si>
    <t>Poggibonsi</t>
  </si>
  <si>
    <t>S. Gimignano</t>
  </si>
  <si>
    <t>Buggiano</t>
  </si>
  <si>
    <t>Lamporecchio</t>
  </si>
  <si>
    <t>Larciano</t>
  </si>
  <si>
    <t>Marliana</t>
  </si>
  <si>
    <t>Massa e Cozzile</t>
  </si>
  <si>
    <t>Monsummano Terme</t>
  </si>
  <si>
    <t>Pieve a Nievole</t>
  </si>
  <si>
    <t>Uzzano</t>
  </si>
  <si>
    <t>Lucca</t>
  </si>
  <si>
    <t>Casciana terme</t>
  </si>
  <si>
    <t>Castelfranco diSotto</t>
  </si>
  <si>
    <t>Valdelsa</t>
  </si>
  <si>
    <t>Casole d'Elsa</t>
  </si>
  <si>
    <t>San Gimignano</t>
  </si>
  <si>
    <t>Valdinievole</t>
  </si>
  <si>
    <t>Allacci Idrici</t>
  </si>
  <si>
    <t>Allacci Fognatura</t>
  </si>
  <si>
    <t>Preparazione Allacci</t>
  </si>
  <si>
    <t>Riattivazioni</t>
  </si>
  <si>
    <t>Spostamento</t>
  </si>
  <si>
    <t>Totale per CZ</t>
  </si>
  <si>
    <t>Min Totali</t>
  </si>
  <si>
    <t>Ore Totali</t>
  </si>
  <si>
    <t>Min/anno per prevent.</t>
  </si>
  <si>
    <t>Num min Prev</t>
  </si>
  <si>
    <t>Num attuale</t>
  </si>
  <si>
    <t>Num reale Prev</t>
  </si>
  <si>
    <t>Att - MinPrev (h) tot</t>
  </si>
  <si>
    <t>Att - MinPrev (g) tot</t>
  </si>
  <si>
    <t>Scarto Reale sul previsto</t>
  </si>
  <si>
    <t>Carico Prev</t>
  </si>
  <si>
    <t>Carico Attuale</t>
  </si>
  <si>
    <t>ALLACCIAMENTI IDRICI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</si>
  <si>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</si>
  <si>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</si>
  <si>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</si>
  <si>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</si>
  <si>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</si>
  <si>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</si>
  <si>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</si>
  <si>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</si>
  <si>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</si>
  <si>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</si>
  <si>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</si>
  <si>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</si>
  <si>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Ottobre(fino al 17)</t>
  </si>
  <si>
    <t>PREPARAZIONE ALLACCIAMENTI IDRICI</t>
  </si>
  <si>
    <t>Tot All+Prep</t>
  </si>
  <si>
    <t>ALLACCIAMENTO FOGNATURA</t>
  </si>
  <si>
    <t>RIATTIVAZIONE ALLACCIAMENTI</t>
  </si>
  <si>
    <t>SPOSTAMENTI/TRASFORMAZIONI</t>
  </si>
  <si>
    <t>Trasferimenti</t>
  </si>
  <si>
    <t>Scarti</t>
  </si>
  <si>
    <t>Nuovo Num Min Prev</t>
  </si>
  <si>
    <t>Num Stimato Prev</t>
  </si>
  <si>
    <t>Picchi x mese</t>
  </si>
  <si>
    <t>attuale</t>
  </si>
  <si>
    <t>StimatoPrev -MinPrev (h) tot</t>
  </si>
  <si>
    <t>StimatoPrev -MinPrev (g) tot</t>
  </si>
  <si>
    <t>StimatoPrev -MinPrev (g) Preventivista</t>
  </si>
  <si>
    <t>Att - StimatoPrev (h) tot</t>
  </si>
  <si>
    <t>Att - StimatoPrev (g) tot</t>
  </si>
  <si>
    <t>Att - StimatoPrev (g) Preventivista</t>
  </si>
  <si>
    <t xml:space="preserve">Att - MinPrev Per Preventivista (g) </t>
  </si>
  <si>
    <t>Nuovo</t>
  </si>
  <si>
    <t>Preventivi Max al Giorno</t>
  </si>
  <si>
    <t>Generale</t>
  </si>
  <si>
    <t>Picco Sup. (Generale)</t>
  </si>
  <si>
    <t>Con 17 preventivisti</t>
  </si>
  <si>
    <t>Con 16 preventivisti</t>
  </si>
  <si>
    <t xml:space="preserve">Totale Pratiche Allacci Idrici </t>
  </si>
  <si>
    <t>Totale Pratiche Allacci Fognatura</t>
  </si>
  <si>
    <t xml:space="preserve">Totale Pratiche Preparazione Allacci </t>
  </si>
  <si>
    <t>Totale Pratiche Riattivazioni</t>
  </si>
  <si>
    <t>Totale Pratiche Spostamenti</t>
  </si>
  <si>
    <t>Totale Pratiche</t>
  </si>
  <si>
    <t>Media Pratiche</t>
  </si>
  <si>
    <t>Crescita</t>
  </si>
  <si>
    <t>Differenze 05-04</t>
  </si>
  <si>
    <t>Pratiche Comune/Pratiche Tot CZ</t>
  </si>
  <si>
    <t>Preventivisti Dedicati</t>
  </si>
  <si>
    <t>Caso 1</t>
  </si>
  <si>
    <t>Caso 2</t>
  </si>
  <si>
    <t>11,2% Prev che è su Pisa</t>
  </si>
  <si>
    <t>23,5% Prev Buti</t>
  </si>
  <si>
    <t>19% Prev Calcinaia</t>
  </si>
  <si>
    <t>Caso Limite Inferiore</t>
  </si>
  <si>
    <t>Media Pratiche Per Settimana</t>
  </si>
  <si>
    <t>Totale Pratiche Per Preventivista a Settimana</t>
  </si>
  <si>
    <t>Verifica Carichi</t>
  </si>
  <si>
    <t>1 giorno fa le pratiche dell'altro</t>
  </si>
  <si>
    <r>
      <t xml:space="preserve">         </t>
    </r>
    <r>
      <rPr>
        <sz val="10"/>
        <rFont val="Arial"/>
        <family val="2"/>
      </rPr>
      <t xml:space="preserve"> 8</t>
    </r>
    <r>
      <rPr>
        <i/>
        <sz val="10"/>
        <rFont val="Arial"/>
        <family val="2"/>
      </rPr>
      <t xml:space="preserve">     12</t>
    </r>
  </si>
  <si>
    <t>Carico Picco</t>
  </si>
  <si>
    <t>Identificativo Nodo</t>
  </si>
  <si>
    <t>MEDIA 2004-2005 CASO CON 11 PREVENTIVISTI (CASO 2)</t>
  </si>
  <si>
    <t>Caso con Preventivisti Dedicati Senza Tener Presente i Picchi di Domanda (Caso 1)</t>
  </si>
  <si>
    <t>Caso con Preventivisti Dedicati Tenendo Presente i Picchi di Domanda (Caso 2)</t>
  </si>
  <si>
    <t>E-V</t>
  </si>
  <si>
    <t>L-V</t>
  </si>
  <si>
    <t>P-P</t>
  </si>
  <si>
    <t>Caso 3</t>
  </si>
  <si>
    <t>Caso 4</t>
  </si>
  <si>
    <t>Caso 3 (20%)</t>
  </si>
  <si>
    <t>Caso 3 (10%)</t>
  </si>
  <si>
    <t>Caso 4 (20%)</t>
  </si>
  <si>
    <t>Caso 4 (10%)</t>
  </si>
  <si>
    <t>Caso 5</t>
  </si>
  <si>
    <t>Caso 5 (10%)</t>
  </si>
  <si>
    <t>Caso 5 (20%)</t>
  </si>
  <si>
    <t>Caso 6</t>
  </si>
  <si>
    <t>Caso 6 (10%)</t>
  </si>
  <si>
    <t>Caso 6 (20%)</t>
  </si>
  <si>
    <t>Identificazione nodo</t>
  </si>
  <si>
    <t>Comuni serviti</t>
  </si>
  <si>
    <t>Lunedì</t>
  </si>
  <si>
    <t>Martedì</t>
  </si>
  <si>
    <t>Mercoledì</t>
  </si>
  <si>
    <t>Giovedì</t>
  </si>
  <si>
    <t>Venerdì</t>
  </si>
  <si>
    <t>Preventivista 1</t>
  </si>
  <si>
    <t xml:space="preserve">Totale Pratiche </t>
  </si>
  <si>
    <t>Preventivista 2</t>
  </si>
  <si>
    <t>Percorso globale Prev2: 1-4-3-2-5-1</t>
  </si>
  <si>
    <t>Capannori-(Montespertoli)-Chiesina Uzzanese-Villa Basilica-Capannori</t>
  </si>
  <si>
    <t>Capannori-Montecarlo-(Chiesina Uzzanese)-Pescia-Altopascio-Porcari-Capannori</t>
  </si>
  <si>
    <t>Preventivista 3</t>
  </si>
  <si>
    <t>Vedi Prev.1 Lucca</t>
  </si>
  <si>
    <t>Pontedera NORD</t>
  </si>
  <si>
    <t>Pontedera SUD</t>
  </si>
  <si>
    <t>Passando per Chiesina Uzzanese</t>
  </si>
  <si>
    <t>Passando per Porcari e Chiesina Uzzanese</t>
  </si>
  <si>
    <t>Passano per Porcari</t>
  </si>
  <si>
    <t>Preventivista4</t>
  </si>
  <si>
    <t>3 (Pontedera)</t>
  </si>
  <si>
    <t>Passando per Calcinaia</t>
  </si>
  <si>
    <t>Passando per Capannoli</t>
  </si>
  <si>
    <t xml:space="preserve">Passando per Certaldo </t>
  </si>
  <si>
    <t>3 (Lucca)</t>
  </si>
  <si>
    <t>Chiesina Uzzanese(2)</t>
  </si>
  <si>
    <t>5 (Lucca)</t>
  </si>
  <si>
    <t>Pescia (4)</t>
  </si>
  <si>
    <t>Monsummano-Chiesina-Pescia-Massa</t>
  </si>
  <si>
    <t>Massa e Cozzile (3)</t>
  </si>
  <si>
    <t>Monsummano-Pescia-Massa</t>
  </si>
  <si>
    <t>Dati Settimanali:</t>
  </si>
  <si>
    <t>16 Preventivisti Non Dedicati</t>
  </si>
  <si>
    <t>11 Preventivisti Dedicati</t>
  </si>
  <si>
    <t>Preventivista</t>
  </si>
  <si>
    <t>Km</t>
  </si>
  <si>
    <t>Tot km CZ</t>
  </si>
  <si>
    <t>Preventivista 4</t>
  </si>
  <si>
    <t>Dati Annuali:</t>
  </si>
  <si>
    <r>
      <t xml:space="preserve">Percorso globale Prev1: 1-6-7-8-1 </t>
    </r>
    <r>
      <rPr>
        <b/>
        <sz val="10"/>
        <rFont val="Arial"/>
        <family val="2"/>
      </rPr>
      <t>38 km</t>
    </r>
  </si>
  <si>
    <r>
      <t xml:space="preserve">Sottocammino1: 1-6-7-1 </t>
    </r>
    <r>
      <rPr>
        <b/>
        <sz val="10"/>
        <rFont val="Arial"/>
        <family val="2"/>
      </rPr>
      <t>31 km</t>
    </r>
  </si>
  <si>
    <r>
      <t xml:space="preserve">Sottocammino2: 1-7-8-1 </t>
    </r>
    <r>
      <rPr>
        <b/>
        <sz val="10"/>
        <rFont val="Arial"/>
        <family val="2"/>
      </rPr>
      <t>31 km</t>
    </r>
  </si>
  <si>
    <r>
      <t xml:space="preserve">Sottocammino3: 1-6-8-1 </t>
    </r>
    <r>
      <rPr>
        <b/>
        <sz val="10"/>
        <rFont val="Arial"/>
        <family val="2"/>
      </rPr>
      <t>33 km</t>
    </r>
  </si>
  <si>
    <r>
      <t xml:space="preserve">Lunghezza: </t>
    </r>
    <r>
      <rPr>
        <b/>
        <sz val="10"/>
        <rFont val="Arial"/>
        <family val="2"/>
      </rPr>
      <t xml:space="preserve">60 km </t>
    </r>
    <r>
      <rPr>
        <sz val="10"/>
        <rFont val="Arial"/>
        <family val="2"/>
      </rPr>
      <t>Empoli-Montespertoli-Montelupo-Capraia-Vinci-Empoli</t>
    </r>
  </si>
  <si>
    <r>
      <t xml:space="preserve">Sottocammino1: 1-3-4 </t>
    </r>
    <r>
      <rPr>
        <b/>
        <sz val="10"/>
        <rFont val="Arial"/>
        <family val="2"/>
      </rPr>
      <t>40 km</t>
    </r>
    <r>
      <rPr>
        <sz val="10"/>
        <rFont val="Arial"/>
        <family val="0"/>
      </rPr>
      <t xml:space="preserve"> Montelupo-Montespertoli </t>
    </r>
  </si>
  <si>
    <r>
      <t xml:space="preserve">Sottocammino2: 1-3-2-5-1 </t>
    </r>
    <r>
      <rPr>
        <b/>
        <sz val="10"/>
        <rFont val="Arial"/>
        <family val="2"/>
      </rPr>
      <t>36 km</t>
    </r>
    <r>
      <rPr>
        <sz val="10"/>
        <rFont val="Arial"/>
        <family val="0"/>
      </rPr>
      <t xml:space="preserve"> Montelupo-Capraia-Vinci</t>
    </r>
  </si>
  <si>
    <r>
      <t xml:space="preserve">Percorso globale Prev1: 1-(4)-3-7-1 </t>
    </r>
    <r>
      <rPr>
        <b/>
        <sz val="10"/>
        <rFont val="Arial"/>
        <family val="2"/>
      </rPr>
      <t>44 km</t>
    </r>
  </si>
  <si>
    <r>
      <t xml:space="preserve">Sottocanmmino4: 1-6-8 </t>
    </r>
    <r>
      <rPr>
        <b/>
        <sz val="10"/>
        <rFont val="Arial"/>
        <family val="2"/>
      </rPr>
      <t>27km</t>
    </r>
  </si>
  <si>
    <r>
      <t xml:space="preserve">Percorso globale Prev2: 1-4-3-5-2-6-1 Lunghezza: </t>
    </r>
    <r>
      <rPr>
        <b/>
        <sz val="10"/>
        <rFont val="Arial"/>
        <family val="2"/>
      </rPr>
      <t>45 km</t>
    </r>
  </si>
  <si>
    <r>
      <t xml:space="preserve">Sottocammino1: 1-6-2-5-1 </t>
    </r>
    <r>
      <rPr>
        <b/>
        <sz val="10"/>
        <rFont val="Arial"/>
        <family val="2"/>
      </rPr>
      <t>29 km</t>
    </r>
    <r>
      <rPr>
        <sz val="10"/>
        <rFont val="Arial"/>
        <family val="0"/>
      </rPr>
      <t xml:space="preserve"> </t>
    </r>
  </si>
  <si>
    <r>
      <t xml:space="preserve">Sottocammino2: 1-4-(3)-2-6-1 </t>
    </r>
    <r>
      <rPr>
        <b/>
        <sz val="10"/>
        <rFont val="Arial"/>
        <family val="2"/>
      </rPr>
      <t>30 km</t>
    </r>
    <r>
      <rPr>
        <sz val="10"/>
        <rFont val="Arial"/>
        <family val="0"/>
      </rPr>
      <t xml:space="preserve"> Montecarlo-(Chiesina)-Altopascio-Porcari</t>
    </r>
  </si>
  <si>
    <r>
      <t xml:space="preserve">Sottocammino3: 1-4-(3)-5-6-1 </t>
    </r>
    <r>
      <rPr>
        <b/>
        <sz val="10"/>
        <rFont val="Arial"/>
        <family val="2"/>
      </rPr>
      <t>30 km</t>
    </r>
    <r>
      <rPr>
        <sz val="10"/>
        <rFont val="Arial"/>
        <family val="0"/>
      </rPr>
      <t xml:space="preserve"> Montecarlo-(Chiesina)-Pescia-Porcari</t>
    </r>
  </si>
  <si>
    <r>
      <t xml:space="preserve">Percorso globale Prev2: 1-4-7-1  </t>
    </r>
    <r>
      <rPr>
        <b/>
        <sz val="10"/>
        <rFont val="Arial"/>
        <family val="2"/>
      </rPr>
      <t>45 km</t>
    </r>
  </si>
  <si>
    <r>
      <t xml:space="preserve">Sottocammino1: 1-5-1 </t>
    </r>
    <r>
      <rPr>
        <b/>
        <sz val="10"/>
        <rFont val="Arial"/>
        <family val="2"/>
      </rPr>
      <t>34 km</t>
    </r>
  </si>
  <si>
    <r>
      <t xml:space="preserve">Percorso globale Prev3: 1-2-3-5-6-1   </t>
    </r>
    <r>
      <rPr>
        <b/>
        <sz val="10"/>
        <rFont val="Arial"/>
        <family val="2"/>
      </rPr>
      <t>71 km</t>
    </r>
  </si>
  <si>
    <r>
      <t xml:space="preserve">Sottocammino2: 1-5-6-1 </t>
    </r>
    <r>
      <rPr>
        <b/>
        <sz val="10"/>
        <rFont val="Arial"/>
        <family val="2"/>
      </rPr>
      <t>37 km</t>
    </r>
  </si>
  <si>
    <r>
      <t xml:space="preserve">Sottocammino3: 1-2-3-1 </t>
    </r>
    <r>
      <rPr>
        <b/>
        <sz val="10"/>
        <rFont val="Arial"/>
        <family val="2"/>
      </rPr>
      <t>61 km</t>
    </r>
  </si>
  <si>
    <r>
      <t xml:space="preserve">Sottocammino3: 1-(6)-5-1 </t>
    </r>
    <r>
      <rPr>
        <b/>
        <sz val="10"/>
        <rFont val="Arial"/>
        <family val="2"/>
      </rPr>
      <t>37 km</t>
    </r>
  </si>
  <si>
    <r>
      <t xml:space="preserve">Percorso globale Prev1: 1-2-5-6-4-3-1 </t>
    </r>
    <r>
      <rPr>
        <b/>
        <sz val="10"/>
        <rFont val="Arial"/>
        <family val="2"/>
      </rPr>
      <t>76 km</t>
    </r>
  </si>
  <si>
    <r>
      <t xml:space="preserve">Sottocammino1: 1-2-5-6-1 </t>
    </r>
    <r>
      <rPr>
        <b/>
        <sz val="10"/>
        <rFont val="Arial"/>
        <family val="2"/>
      </rPr>
      <t>58 km</t>
    </r>
    <r>
      <rPr>
        <sz val="10"/>
        <rFont val="Arial"/>
        <family val="0"/>
      </rPr>
      <t xml:space="preserve"> Certaldo-Poggibonsi-SanGimignano</t>
    </r>
  </si>
  <si>
    <r>
      <t xml:space="preserve">Sottocammino2: 1-3-4-1 </t>
    </r>
    <r>
      <rPr>
        <b/>
        <sz val="10"/>
        <rFont val="Arial"/>
        <family val="2"/>
      </rPr>
      <t>38 km</t>
    </r>
    <r>
      <rPr>
        <sz val="10"/>
        <rFont val="Arial"/>
        <family val="0"/>
      </rPr>
      <t xml:space="preserve"> Castelfiorentino-Gambassi-montaione</t>
    </r>
  </si>
  <si>
    <r>
      <t xml:space="preserve">Sottocammino3: 1-2-5-6-1 </t>
    </r>
    <r>
      <rPr>
        <b/>
        <sz val="10"/>
        <rFont val="Arial"/>
        <family val="2"/>
      </rPr>
      <t>58km</t>
    </r>
    <r>
      <rPr>
        <sz val="10"/>
        <rFont val="Arial"/>
        <family val="0"/>
      </rPr>
      <t xml:space="preserve"> (Certaldo)-Poggibonsi-Sgimignano</t>
    </r>
  </si>
  <si>
    <r>
      <t xml:space="preserve">Sottocammino4: 1-2-1 </t>
    </r>
    <r>
      <rPr>
        <b/>
        <sz val="10"/>
        <rFont val="Arial"/>
        <family val="2"/>
      </rPr>
      <t>20km</t>
    </r>
  </si>
  <si>
    <r>
      <t xml:space="preserve">Sottocammino4: 1-3-1 </t>
    </r>
    <r>
      <rPr>
        <b/>
        <sz val="10"/>
        <rFont val="Arial"/>
        <family val="2"/>
      </rPr>
      <t>20km</t>
    </r>
  </si>
  <si>
    <r>
      <t xml:space="preserve">Percorso globale Prev1(non fattibile): 1-3-4-5-2-8-6-7-1 </t>
    </r>
    <r>
      <rPr>
        <b/>
        <sz val="10"/>
        <rFont val="Arial"/>
        <family val="2"/>
      </rPr>
      <t>79 km</t>
    </r>
  </si>
  <si>
    <r>
      <t xml:space="preserve">Sottocammino1: 1-3-4-8-1 </t>
    </r>
    <r>
      <rPr>
        <b/>
        <sz val="10"/>
        <rFont val="Arial"/>
        <family val="2"/>
      </rPr>
      <t>50km</t>
    </r>
  </si>
  <si>
    <r>
      <t xml:space="preserve">Sottocammino2: 1-2-5-1 </t>
    </r>
    <r>
      <rPr>
        <b/>
        <sz val="10"/>
        <rFont val="Arial"/>
        <family val="2"/>
      </rPr>
      <t xml:space="preserve">37km </t>
    </r>
  </si>
  <si>
    <r>
      <t xml:space="preserve">Sottocanmmino3: 1-6-8 </t>
    </r>
    <r>
      <rPr>
        <b/>
        <sz val="10"/>
        <rFont val="Arial"/>
        <family val="2"/>
      </rPr>
      <t>27km</t>
    </r>
  </si>
  <si>
    <r>
      <t xml:space="preserve">Percorso globale Prev1: 1-3-4-2-7-6-5-1 </t>
    </r>
    <r>
      <rPr>
        <b/>
        <sz val="10"/>
        <rFont val="Arial"/>
        <family val="2"/>
      </rPr>
      <t>66 km</t>
    </r>
  </si>
  <si>
    <r>
      <t xml:space="preserve">Sottocammino1: 1-2-3-4-8-1 </t>
    </r>
    <r>
      <rPr>
        <b/>
        <sz val="10"/>
        <rFont val="Arial"/>
        <family val="2"/>
      </rPr>
      <t xml:space="preserve">16km </t>
    </r>
    <r>
      <rPr>
        <sz val="10"/>
        <rFont val="Arial"/>
        <family val="2"/>
      </rPr>
      <t>Pontedera-Bientina-Calcinaia</t>
    </r>
  </si>
  <si>
    <r>
      <t xml:space="preserve">Sottocammino2: 1-5-6 </t>
    </r>
    <r>
      <rPr>
        <b/>
        <sz val="10"/>
        <rFont val="Arial"/>
        <family val="2"/>
      </rPr>
      <t>36 km</t>
    </r>
    <r>
      <rPr>
        <sz val="10"/>
        <rFont val="Arial"/>
        <family val="2"/>
      </rPr>
      <t xml:space="preserve"> Montopoli-S.Croce</t>
    </r>
  </si>
  <si>
    <r>
      <t>Sottocammino3: 1-(3)-4-(2)-7-1</t>
    </r>
    <r>
      <rPr>
        <b/>
        <sz val="10"/>
        <rFont val="Arial"/>
        <family val="2"/>
      </rPr>
      <t xml:space="preserve"> 46 km </t>
    </r>
    <r>
      <rPr>
        <sz val="10"/>
        <rFont val="Arial"/>
        <family val="2"/>
      </rPr>
      <t>Pontedera-Castelfranco di Sotto-S. Maria a Monte</t>
    </r>
  </si>
  <si>
    <r>
      <t xml:space="preserve">Sottocammino4: 1-4-3-5-1 </t>
    </r>
    <r>
      <rPr>
        <b/>
        <sz val="10"/>
        <rFont val="Arial"/>
        <family val="2"/>
      </rPr>
      <t>51km</t>
    </r>
    <r>
      <rPr>
        <sz val="10"/>
        <rFont val="Arial"/>
        <family val="0"/>
      </rPr>
      <t xml:space="preserve"> Pontedera-Castelfranco-Montopoli</t>
    </r>
  </si>
  <si>
    <r>
      <t xml:space="preserve">Sottocammino1: 1-5-6-1 </t>
    </r>
    <r>
      <rPr>
        <b/>
        <sz val="10"/>
        <rFont val="Arial"/>
        <family val="2"/>
      </rPr>
      <t>44km</t>
    </r>
  </si>
  <si>
    <r>
      <t xml:space="preserve">Sottocammino2: 1-2-7-4-1 </t>
    </r>
    <r>
      <rPr>
        <b/>
        <sz val="10"/>
        <rFont val="Arial"/>
        <family val="2"/>
      </rPr>
      <t>63 km</t>
    </r>
  </si>
  <si>
    <r>
      <t xml:space="preserve">Sottocammino3: 1-3-9-8-12 </t>
    </r>
    <r>
      <rPr>
        <b/>
        <sz val="10"/>
        <rFont val="Arial"/>
        <family val="2"/>
      </rPr>
      <t>52 km</t>
    </r>
  </si>
  <si>
    <r>
      <t xml:space="preserve">Sottocammino4: 1-2-13-11-10-1 </t>
    </r>
    <r>
      <rPr>
        <b/>
        <sz val="10"/>
        <rFont val="Arial"/>
        <family val="2"/>
      </rPr>
      <t>59 km</t>
    </r>
  </si>
  <si>
    <r>
      <t xml:space="preserve">Percorso ottimo: 1-4-3-2-5-6-7-8-1 </t>
    </r>
    <r>
      <rPr>
        <b/>
        <sz val="10"/>
        <rFont val="Arial"/>
        <family val="2"/>
      </rPr>
      <t>83 km</t>
    </r>
  </si>
  <si>
    <r>
      <t xml:space="preserve">Sottocammino1: 1-4-1 </t>
    </r>
    <r>
      <rPr>
        <b/>
        <sz val="10"/>
        <rFont val="Arial"/>
        <family val="2"/>
      </rPr>
      <t>34 km</t>
    </r>
  </si>
  <si>
    <r>
      <t xml:space="preserve">Sottocammino3:1-2-6-1 </t>
    </r>
    <r>
      <rPr>
        <b/>
        <sz val="10"/>
        <rFont val="Arial"/>
        <family val="2"/>
      </rPr>
      <t>27 km</t>
    </r>
  </si>
  <si>
    <r>
      <t xml:space="preserve">Sottocammino4: 1-3-5-1 </t>
    </r>
    <r>
      <rPr>
        <b/>
        <sz val="10"/>
        <rFont val="Arial"/>
        <family val="2"/>
      </rPr>
      <t>36 km</t>
    </r>
    <r>
      <rPr>
        <sz val="10"/>
        <rFont val="Arial"/>
        <family val="0"/>
      </rPr>
      <t xml:space="preserve"> entrambi</t>
    </r>
  </si>
  <si>
    <r>
      <t xml:space="preserve">Sottocammino5: 1-3-1 </t>
    </r>
    <r>
      <rPr>
        <b/>
        <sz val="10"/>
        <rFont val="Arial"/>
        <family val="2"/>
      </rPr>
      <t>16 km</t>
    </r>
    <r>
      <rPr>
        <sz val="10"/>
        <rFont val="Arial"/>
        <family val="0"/>
      </rPr>
      <t xml:space="preserve"> solo Montelupo</t>
    </r>
  </si>
  <si>
    <r>
      <t xml:space="preserve">Sottocammino6: 1-5-1 </t>
    </r>
    <r>
      <rPr>
        <b/>
        <sz val="10"/>
        <rFont val="Arial"/>
        <family val="2"/>
      </rPr>
      <t xml:space="preserve">22 km </t>
    </r>
    <r>
      <rPr>
        <sz val="10"/>
        <rFont val="Arial"/>
        <family val="2"/>
      </rPr>
      <t>solo Vinci</t>
    </r>
  </si>
  <si>
    <r>
      <t xml:space="preserve">Sottocammino1: 1-7-1 </t>
    </r>
    <r>
      <rPr>
        <b/>
        <sz val="10"/>
        <rFont val="Arial"/>
        <family val="2"/>
      </rPr>
      <t>36 km</t>
    </r>
  </si>
  <si>
    <r>
      <t xml:space="preserve">Sottocammino2: 1-4-(3)-2-6-1 </t>
    </r>
    <r>
      <rPr>
        <b/>
        <sz val="10"/>
        <rFont val="Arial"/>
        <family val="2"/>
      </rPr>
      <t>30 km</t>
    </r>
  </si>
  <si>
    <r>
      <t xml:space="preserve">sottocammino3: 1-(6)-2-(3)-4-1 </t>
    </r>
    <r>
      <rPr>
        <b/>
        <sz val="10"/>
        <rFont val="Arial"/>
        <family val="2"/>
      </rPr>
      <t>30 km</t>
    </r>
  </si>
  <si>
    <r>
      <t xml:space="preserve">Sottocammino4: 1-(2)-6-1 </t>
    </r>
    <r>
      <rPr>
        <b/>
        <sz val="10"/>
        <rFont val="Arial"/>
        <family val="2"/>
      </rPr>
      <t>29 km</t>
    </r>
  </si>
  <si>
    <r>
      <t xml:space="preserve">Percorso ottimo: 1-4-3-2-5-7-6-1 </t>
    </r>
    <r>
      <rPr>
        <b/>
        <sz val="10"/>
        <rFont val="Arial"/>
        <family val="2"/>
      </rPr>
      <t>60 km</t>
    </r>
  </si>
  <si>
    <r>
      <t xml:space="preserve">Percorso ottimo: 1-4-2-7-3-5-6-1 </t>
    </r>
    <r>
      <rPr>
        <b/>
        <sz val="10"/>
        <rFont val="Arial"/>
        <family val="2"/>
      </rPr>
      <t>73 km</t>
    </r>
  </si>
  <si>
    <r>
      <t xml:space="preserve">Sottocammino1: 1-2-1 </t>
    </r>
    <r>
      <rPr>
        <b/>
        <sz val="10"/>
        <rFont val="Arial"/>
        <family val="2"/>
      </rPr>
      <t>54 km</t>
    </r>
  </si>
  <si>
    <r>
      <t xml:space="preserve">Sottocammino2: 1-3-5-6-1 </t>
    </r>
    <r>
      <rPr>
        <b/>
        <sz val="10"/>
        <rFont val="Arial"/>
        <family val="2"/>
      </rPr>
      <t>46 km</t>
    </r>
  </si>
  <si>
    <r>
      <t xml:space="preserve">Sottocammino3: 1-5-6-1 </t>
    </r>
    <r>
      <rPr>
        <b/>
        <sz val="10"/>
        <rFont val="Arial"/>
        <family val="2"/>
      </rPr>
      <t>37 km SanGiuliano-Vecchiano</t>
    </r>
  </si>
  <si>
    <r>
      <t xml:space="preserve">Sottocammino4: 1-(6)-5-(3)-1 </t>
    </r>
    <r>
      <rPr>
        <b/>
        <sz val="10"/>
        <rFont val="Arial"/>
        <family val="2"/>
      </rPr>
      <t>46 km</t>
    </r>
  </si>
  <si>
    <r>
      <t xml:space="preserve">Sottocammino5: 1-3-6-1 </t>
    </r>
    <r>
      <rPr>
        <b/>
        <sz val="10"/>
        <rFont val="Arial"/>
        <family val="2"/>
      </rPr>
      <t>45 km</t>
    </r>
  </si>
  <si>
    <r>
      <t xml:space="preserve">Sottocammino6: 1-4-7-1 </t>
    </r>
    <r>
      <rPr>
        <b/>
        <sz val="10"/>
        <rFont val="Arial"/>
        <family val="2"/>
      </rPr>
      <t>45 km</t>
    </r>
  </si>
  <si>
    <r>
      <t xml:space="preserve">Sottocammino7: 1-4-1 </t>
    </r>
    <r>
      <rPr>
        <b/>
        <sz val="10"/>
        <rFont val="Arial"/>
        <family val="2"/>
      </rPr>
      <t>34 km</t>
    </r>
  </si>
  <si>
    <r>
      <t xml:space="preserve">Sottocammino8: 1-3-1 </t>
    </r>
    <r>
      <rPr>
        <b/>
        <sz val="10"/>
        <rFont val="Arial"/>
        <family val="2"/>
      </rPr>
      <t>52 km</t>
    </r>
  </si>
  <si>
    <r>
      <t xml:space="preserve">Percorso ottimoNord: 1-5-6-7-2-3-4-8-1 </t>
    </r>
    <r>
      <rPr>
        <b/>
        <sz val="10"/>
        <rFont val="Arial"/>
        <family val="2"/>
      </rPr>
      <t>69 km</t>
    </r>
  </si>
  <si>
    <r>
      <t>Sottocammino1: 1-2-7-6-1</t>
    </r>
    <r>
      <rPr>
        <b/>
        <sz val="10"/>
        <rFont val="Arial"/>
        <family val="2"/>
      </rPr>
      <t xml:space="preserve"> 41 km </t>
    </r>
  </si>
  <si>
    <r>
      <t>Sottocammino2: 1-(3)-4-2-1</t>
    </r>
    <r>
      <rPr>
        <b/>
        <sz val="10"/>
        <rFont val="Arial"/>
        <family val="2"/>
      </rPr>
      <t xml:space="preserve"> 37 km</t>
    </r>
  </si>
  <si>
    <r>
      <t xml:space="preserve">Sottocammino3: 1-6-7-1 </t>
    </r>
    <r>
      <rPr>
        <b/>
        <sz val="10"/>
        <rFont val="Arial"/>
        <family val="2"/>
      </rPr>
      <t>36 km</t>
    </r>
  </si>
  <si>
    <r>
      <t xml:space="preserve">Sottocammino5: 1-5-8-1 </t>
    </r>
    <r>
      <rPr>
        <b/>
        <sz val="10"/>
        <rFont val="Arial"/>
        <family val="2"/>
      </rPr>
      <t>31 km</t>
    </r>
  </si>
  <si>
    <r>
      <t xml:space="preserve">Sottocammino6: 1-8-1 </t>
    </r>
    <r>
      <rPr>
        <b/>
        <sz val="10"/>
        <rFont val="Arial"/>
        <family val="2"/>
      </rPr>
      <t>10 km</t>
    </r>
    <r>
      <rPr>
        <sz val="10"/>
        <rFont val="Arial"/>
        <family val="0"/>
      </rPr>
      <t xml:space="preserve"> Pontedera-Ponsacco</t>
    </r>
  </si>
  <si>
    <r>
      <t xml:space="preserve">Sottocammino7: 1-5-1 </t>
    </r>
    <r>
      <rPr>
        <b/>
        <sz val="10"/>
        <rFont val="Arial"/>
        <family val="2"/>
      </rPr>
      <t>22 km</t>
    </r>
    <r>
      <rPr>
        <sz val="10"/>
        <rFont val="Arial"/>
        <family val="0"/>
      </rPr>
      <t xml:space="preserve"> Pontedera-Montopoli</t>
    </r>
  </si>
  <si>
    <r>
      <t xml:space="preserve">Sottocammino6: 1-2-8-5-1 </t>
    </r>
    <r>
      <rPr>
        <b/>
        <sz val="10"/>
        <rFont val="Arial"/>
        <family val="2"/>
      </rPr>
      <t>42 km</t>
    </r>
  </si>
  <si>
    <r>
      <t>Sottocammino7: 1-3-9-6-1</t>
    </r>
    <r>
      <rPr>
        <b/>
        <sz val="10"/>
        <rFont val="Arial"/>
        <family val="2"/>
      </rPr>
      <t xml:space="preserve"> 56 km</t>
    </r>
  </si>
  <si>
    <r>
      <t xml:space="preserve">Sottocammino8: 1-(2)-7-13-4-1 </t>
    </r>
    <r>
      <rPr>
        <b/>
        <sz val="10"/>
        <rFont val="Arial"/>
        <family val="2"/>
      </rPr>
      <t>67 km</t>
    </r>
  </si>
  <si>
    <r>
      <t xml:space="preserve">Sottocammino9: 1-10-11-1 </t>
    </r>
    <r>
      <rPr>
        <b/>
        <sz val="10"/>
        <rFont val="Arial"/>
        <family val="2"/>
      </rPr>
      <t>49 km</t>
    </r>
  </si>
  <si>
    <r>
      <t xml:space="preserve">Percorso globale Prev1. 1-2-4-1 </t>
    </r>
    <r>
      <rPr>
        <b/>
        <sz val="10"/>
        <rFont val="Arial"/>
        <family val="2"/>
      </rPr>
      <t>46 km</t>
    </r>
  </si>
  <si>
    <r>
      <t xml:space="preserve">Sottocammino2: 1-2-1 </t>
    </r>
    <r>
      <rPr>
        <b/>
        <sz val="10"/>
        <rFont val="Arial"/>
        <family val="2"/>
      </rPr>
      <t>20 km</t>
    </r>
  </si>
  <si>
    <r>
      <t xml:space="preserve">Sottocammino3: 1-4-1 </t>
    </r>
    <r>
      <rPr>
        <b/>
        <sz val="10"/>
        <rFont val="Arial"/>
        <family val="2"/>
      </rPr>
      <t>36 km</t>
    </r>
  </si>
  <si>
    <r>
      <t xml:space="preserve">Percorso globale Prev1: 1-(2)-5-6-3 </t>
    </r>
    <r>
      <rPr>
        <b/>
        <sz val="10"/>
        <rFont val="Arial"/>
        <family val="2"/>
      </rPr>
      <t>64 km</t>
    </r>
  </si>
  <si>
    <r>
      <t xml:space="preserve">Sottocammino5: 1-(2)-6-3-1 </t>
    </r>
    <r>
      <rPr>
        <b/>
        <sz val="10"/>
        <rFont val="Arial"/>
        <family val="2"/>
      </rPr>
      <t>50km</t>
    </r>
  </si>
  <si>
    <r>
      <t xml:space="preserve">Sottocammino6: 1-(2)-5-1 </t>
    </r>
    <r>
      <rPr>
        <b/>
        <sz val="10"/>
        <rFont val="Arial"/>
        <family val="2"/>
      </rPr>
      <t>47 km</t>
    </r>
  </si>
  <si>
    <r>
      <t>Sottocammino7: 1-(2)-6-1</t>
    </r>
    <r>
      <rPr>
        <b/>
        <sz val="10"/>
        <rFont val="Arial"/>
        <family val="2"/>
      </rPr>
      <t xml:space="preserve"> 44 km</t>
    </r>
  </si>
  <si>
    <r>
      <t xml:space="preserve">Percorso globale Prev1: 1-3-4-7 </t>
    </r>
    <r>
      <rPr>
        <b/>
        <sz val="10"/>
        <rFont val="Arial"/>
        <family val="2"/>
      </rPr>
      <t>33km</t>
    </r>
  </si>
  <si>
    <r>
      <t xml:space="preserve">Sottocammino1: 1-7-1 </t>
    </r>
    <r>
      <rPr>
        <b/>
        <sz val="10"/>
        <rFont val="Arial"/>
        <family val="2"/>
      </rPr>
      <t>2 km</t>
    </r>
    <r>
      <rPr>
        <sz val="10"/>
        <rFont val="Arial"/>
        <family val="0"/>
      </rPr>
      <t xml:space="preserve"> Monsummano-Pieve</t>
    </r>
  </si>
  <si>
    <r>
      <t xml:space="preserve">Sottocammino2: 1-3-4-1 </t>
    </r>
    <r>
      <rPr>
        <b/>
        <sz val="10"/>
        <rFont val="Arial"/>
        <family val="2"/>
      </rPr>
      <t>31 km</t>
    </r>
  </si>
  <si>
    <r>
      <t>Sottocammino3: 1-4-1</t>
    </r>
    <r>
      <rPr>
        <b/>
        <sz val="10"/>
        <rFont val="Arial"/>
        <family val="2"/>
      </rPr>
      <t xml:space="preserve"> 26 km</t>
    </r>
  </si>
  <si>
    <r>
      <t>Percorso globale Prev2: 1-2-4-3-1</t>
    </r>
    <r>
      <rPr>
        <b/>
        <sz val="10"/>
        <rFont val="Arial"/>
        <family val="2"/>
      </rPr>
      <t xml:space="preserve"> 38km</t>
    </r>
  </si>
  <si>
    <r>
      <t xml:space="preserve">Sottocammino5: 1-3-4-1 </t>
    </r>
    <r>
      <rPr>
        <b/>
        <sz val="10"/>
        <rFont val="Arial"/>
        <family val="2"/>
      </rPr>
      <t>31 km</t>
    </r>
  </si>
  <si>
    <r>
      <t xml:space="preserve">Percorso globale Prev3: 1-5-2-8 </t>
    </r>
    <r>
      <rPr>
        <b/>
        <sz val="10"/>
        <rFont val="Arial"/>
        <family val="2"/>
      </rPr>
      <t>41 km</t>
    </r>
  </si>
  <si>
    <r>
      <t xml:space="preserve">Sottocammino6: 1-2-8-1 </t>
    </r>
    <r>
      <rPr>
        <b/>
        <sz val="10"/>
        <rFont val="Arial"/>
        <family val="2"/>
      </rPr>
      <t xml:space="preserve">22 km </t>
    </r>
    <r>
      <rPr>
        <sz val="10"/>
        <rFont val="Arial"/>
        <family val="2"/>
      </rPr>
      <t>solo Buggiano e Uzzano</t>
    </r>
  </si>
  <si>
    <r>
      <t xml:space="preserve">Sottocammino7: 1-5-1 </t>
    </r>
    <r>
      <rPr>
        <b/>
        <sz val="10"/>
        <rFont val="Arial"/>
        <family val="2"/>
      </rPr>
      <t>30 km</t>
    </r>
    <r>
      <rPr>
        <sz val="10"/>
        <rFont val="Arial"/>
        <family val="0"/>
      </rPr>
      <t xml:space="preserve"> solo marliana</t>
    </r>
  </si>
  <si>
    <t>Processo</t>
  </si>
  <si>
    <t>FCS</t>
  </si>
  <si>
    <t>FCS 1</t>
  </si>
  <si>
    <t>FCS 2</t>
  </si>
  <si>
    <t>FCS 3</t>
  </si>
  <si>
    <t>FCS 4</t>
  </si>
  <si>
    <t>FCS 5</t>
  </si>
  <si>
    <t>FCS 6</t>
  </si>
  <si>
    <t>FCS 7</t>
  </si>
  <si>
    <t>FCS 8</t>
  </si>
  <si>
    <t>FCS 9</t>
  </si>
  <si>
    <t>KPI</t>
  </si>
  <si>
    <t>Gestione Appuntam. Sopralluoghi</t>
  </si>
  <si>
    <t xml:space="preserve">Tempo Medio tra Richiesta e Sopralluogo </t>
  </si>
  <si>
    <t>x</t>
  </si>
  <si>
    <t xml:space="preserve">N° Preventivi Fuori T.Max </t>
  </si>
  <si>
    <t xml:space="preserve">N°Appuntamenti fuori Calendario/N° Appuntamenti </t>
  </si>
  <si>
    <t xml:space="preserve">N° Ritardo Tempo Preventivazione con Sopralluogo </t>
  </si>
  <si>
    <t xml:space="preserve">N° Rimborsi Automatici </t>
  </si>
  <si>
    <t>Tempo Medio Attesa Cliente/Utente</t>
  </si>
  <si>
    <t>Servizio di Call-Center</t>
  </si>
  <si>
    <t xml:space="preserve">Tempo medio di attesa in linea </t>
  </si>
  <si>
    <t xml:space="preserve">Tempo medio trattamento pratica da C-C </t>
  </si>
  <si>
    <t xml:space="preserve">N°errori da CC/N°pratiche da CC </t>
  </si>
  <si>
    <t xml:space="preserve">Giudizio sul Servizio di Call Center   </t>
  </si>
  <si>
    <t>Ufficio Clienti/Utenti</t>
  </si>
  <si>
    <t xml:space="preserve">Tempo medio elaborazione pratica </t>
  </si>
  <si>
    <t xml:space="preserve">N°Solleciti inviati/N° Richieste Ricevute  </t>
  </si>
  <si>
    <t>Sportello (FO)</t>
  </si>
  <si>
    <t>Tempo medio di attesa allo Sportello</t>
  </si>
  <si>
    <t xml:space="preserve">Tempo Medio Trattamento Pratica </t>
  </si>
  <si>
    <t xml:space="preserve">N° Allarme Attesa </t>
  </si>
  <si>
    <t xml:space="preserve">Giudizio Servizio Sportello  </t>
  </si>
  <si>
    <t>Sportello (BO)</t>
  </si>
  <si>
    <t>Monitoraggio Billing Solution</t>
  </si>
  <si>
    <t xml:space="preserve">Fatturato Effettivo/Fatturato Previsto </t>
  </si>
  <si>
    <t xml:space="preserve">% N°Utenti che hanno avuto meno di 2 letture/N°Utenti  </t>
  </si>
  <si>
    <t xml:space="preserve">% N° Non Rispetto 3 bollettazioni/N° Utenti tot. </t>
  </si>
  <si>
    <t>Rettifiche alla Fatturazione</t>
  </si>
  <si>
    <t xml:space="preserve">N° riletture/N° richieste di rilettura </t>
  </si>
  <si>
    <t>% di fatture rettificate (N° boll.riemesse/N° boll.emesse)</t>
  </si>
  <si>
    <t xml:space="preserve">N° riletture eseguite in ritardo / N°riletture eseguite </t>
  </si>
  <si>
    <t xml:space="preserve">Tempo medio di Rilettura </t>
  </si>
  <si>
    <t>Tempo restituzione crediti dovuti a errata fatturazione utente</t>
  </si>
  <si>
    <t>Recupero Crediti</t>
  </si>
  <si>
    <t xml:space="preserve">Crediti Recuperati/Crediti Insoluti Totali </t>
  </si>
  <si>
    <t xml:space="preserve">N° Raccomandate Inviate/N° Utenti Morosi </t>
  </si>
  <si>
    <t xml:space="preserve">N° Telegrammi Inviati/N° Utenti da sospendere </t>
  </si>
  <si>
    <t xml:space="preserve">N° Utenze Cessate </t>
  </si>
  <si>
    <t xml:space="preserve">Crediti Insoluti/Fatturato Totale </t>
  </si>
  <si>
    <t xml:space="preserve">Costo Medio del Recupero per ogni Utenza/ Credito Insoluto </t>
  </si>
  <si>
    <t>Livello di morosità (% Utenze morose &amp; % bollette morose)</t>
  </si>
  <si>
    <t>Gestione Reclami</t>
  </si>
  <si>
    <t>RECLA (N° Reclami*1000/N° Utenze)</t>
  </si>
  <si>
    <t>Preventiv. Rete Idrica</t>
  </si>
  <si>
    <t>N° Ritardi Fascia Puntualità Appuntamenti Concordati</t>
  </si>
  <si>
    <t xml:space="preserve">N° Reclami per Inesattezza Preventivo  </t>
  </si>
  <si>
    <t xml:space="preserve">Tempo Medio Esecuzione Preventivo   </t>
  </si>
  <si>
    <t xml:space="preserve">Tempo Medio Attesa Cliente/Utente  </t>
  </si>
  <si>
    <t>Preventiv. Rete Fognaria</t>
  </si>
  <si>
    <t xml:space="preserve">N° Reclami per Inesattezza Preventivo   </t>
  </si>
  <si>
    <t xml:space="preserve">Tempo Medio Esecuzione Preventivo    </t>
  </si>
  <si>
    <t>Esecuzione Lavori</t>
  </si>
  <si>
    <t xml:space="preserve">Tempo Medio Esecuzione Allacciamento Idrico </t>
  </si>
  <si>
    <t xml:space="preserve">Tempo Medio Esecuzione Allacciamento Fognario  </t>
  </si>
  <si>
    <t xml:space="preserve">N° Ritardi Esecuzione Allacciamento Idrico </t>
  </si>
  <si>
    <t xml:space="preserve">N° Ritardi Esecuzione Allacciamento Fognario </t>
  </si>
  <si>
    <t>Vita media degli Allacciamenti Fognari</t>
  </si>
  <si>
    <t xml:space="preserve">Vita media degli Allacciamenti Idrici </t>
  </si>
  <si>
    <t>Installazione Contatore</t>
  </si>
  <si>
    <t xml:space="preserve">Tempo Medio Attivazione  </t>
  </si>
  <si>
    <t xml:space="preserve">Tempo Medio Riattivazione  </t>
  </si>
  <si>
    <t xml:space="preserve">N° Ritardi Tempo Attivazione </t>
  </si>
  <si>
    <t xml:space="preserve">N° Ritardi Tempo Riattivazione </t>
  </si>
  <si>
    <t xml:space="preserve">Tempo Medio Riattivazione Morosi  </t>
  </si>
  <si>
    <t>FCS 1: Rispondere con prontezza a richieste di informazioni del cliente/utente;</t>
  </si>
  <si>
    <t>FCS 2: Usare linguaggio contrattuale adeguato e semplice con società esterne;</t>
  </si>
  <si>
    <t>FCS 3: Rispondere con prontezza alle esigenze del cliente/utente;</t>
  </si>
  <si>
    <t>FCS 4: Fornire materiali e procedure user-friendly al cliente/utente;</t>
  </si>
  <si>
    <t>FCS 5: Avere competenza tecnica sul prodotto/servizio;</t>
  </si>
  <si>
    <t>FCS 6: Eseguire una fatturazione completa, accurata e corretta;</t>
  </si>
  <si>
    <t>FCS 7: Avere un buon supporto tecnico/informativo;</t>
  </si>
  <si>
    <t>FCS 8: Avere un efficace sistema di gestione per la qualità;</t>
  </si>
  <si>
    <t>FCS 9: Avere adeguata preparazione della forza lavoro;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</si>
</sst>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_-* #,##0.0_-;\-* #,##0.0_-;_-* &quot;-&quot;_-;_-@_-"/>
    <numFmt numFmtId="176" formatCode="0;[Red]0"/>
    <numFmt numFmtId="177" formatCode="0.0000000"/>
    <numFmt numFmtId="178" formatCode="0.000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_-* #,##0.0_-;\-* #,##0.0_-;_-* &quot;-&quot;?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2"/>
      <name val="Arial"/>
      <family val="2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2"/>
      <name val="Sans-serif"/>
      <family val="0"/>
    </font>
    <font>
      <b/>
      <sz val="10"/>
      <color indexed="57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6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1" fontId="5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1" fontId="5" fillId="0" borderId="1" xfId="0" applyNumberFormat="1" applyFont="1" applyBorder="1" applyAlignment="1" applyProtection="1">
      <alignment horizontal="center"/>
      <protection locked="0"/>
    </xf>
    <xf numFmtId="176" fontId="5" fillId="0" borderId="1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7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174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4" fontId="7" fillId="2" borderId="1" xfId="0" applyNumberFormat="1" applyFont="1" applyFill="1" applyBorder="1" applyAlignment="1">
      <alignment horizontal="center"/>
    </xf>
    <xf numFmtId="9" fontId="6" fillId="2" borderId="1" xfId="19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1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0" fillId="3" borderId="3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174" fontId="7" fillId="2" borderId="1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74" fontId="11" fillId="0" borderId="1" xfId="0" applyNumberFormat="1" applyFont="1" applyBorder="1" applyAlignment="1">
      <alignment horizontal="center"/>
    </xf>
    <xf numFmtId="174" fontId="11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9" fontId="0" fillId="0" borderId="1" xfId="19" applyBorder="1" applyAlignment="1">
      <alignment horizontal="center"/>
    </xf>
    <xf numFmtId="174" fontId="0" fillId="0" borderId="1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 wrapText="1"/>
    </xf>
    <xf numFmtId="1" fontId="8" fillId="0" borderId="1" xfId="17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74" fontId="7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" fontId="0" fillId="0" borderId="1" xfId="0" applyNumberFormat="1" applyBorder="1" applyAlignment="1">
      <alignment/>
    </xf>
    <xf numFmtId="41" fontId="7" fillId="5" borderId="1" xfId="18" applyFont="1" applyFill="1" applyBorder="1" applyAlignment="1">
      <alignment/>
    </xf>
    <xf numFmtId="186" fontId="0" fillId="0" borderId="0" xfId="19" applyNumberFormat="1" applyAlignment="1">
      <alignment/>
    </xf>
    <xf numFmtId="1" fontId="0" fillId="0" borderId="0" xfId="18" applyNumberFormat="1" applyBorder="1" applyAlignment="1">
      <alignment horizontal="left" indent="3"/>
    </xf>
    <xf numFmtId="41" fontId="10" fillId="5" borderId="1" xfId="18" applyFont="1" applyFill="1" applyBorder="1" applyAlignment="1">
      <alignment/>
    </xf>
    <xf numFmtId="41" fontId="11" fillId="5" borderId="1" xfId="18" applyFont="1" applyFill="1" applyBorder="1" applyAlignment="1">
      <alignment/>
    </xf>
    <xf numFmtId="41" fontId="13" fillId="5" borderId="1" xfId="18" applyFont="1" applyFill="1" applyBorder="1" applyAlignment="1">
      <alignment/>
    </xf>
    <xf numFmtId="41" fontId="17" fillId="5" borderId="1" xfId="18" applyFont="1" applyFill="1" applyBorder="1" applyAlignment="1">
      <alignment/>
    </xf>
    <xf numFmtId="0" fontId="12" fillId="0" borderId="14" xfId="0" applyFont="1" applyBorder="1" applyAlignment="1">
      <alignment horizontal="left" wrapText="1"/>
    </xf>
    <xf numFmtId="1" fontId="0" fillId="0" borderId="0" xfId="0" applyNumberFormat="1" applyBorder="1" applyAlignment="1">
      <alignment/>
    </xf>
    <xf numFmtId="41" fontId="18" fillId="5" borderId="1" xfId="18" applyFont="1" applyFill="1" applyBorder="1" applyAlignment="1">
      <alignment/>
    </xf>
    <xf numFmtId="2" fontId="7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Alignment="1">
      <alignment/>
    </xf>
    <xf numFmtId="174" fontId="4" fillId="0" borderId="1" xfId="0" applyNumberFormat="1" applyFont="1" applyFill="1" applyBorder="1" applyAlignment="1">
      <alignment horizontal="center"/>
    </xf>
    <xf numFmtId="186" fontId="7" fillId="5" borderId="1" xfId="19" applyNumberFormat="1" applyFont="1" applyFill="1" applyBorder="1" applyAlignment="1">
      <alignment/>
    </xf>
    <xf numFmtId="186" fontId="10" fillId="5" borderId="1" xfId="19" applyNumberFormat="1" applyFont="1" applyFill="1" applyBorder="1" applyAlignment="1">
      <alignment/>
    </xf>
    <xf numFmtId="186" fontId="11" fillId="5" borderId="1" xfId="19" applyNumberFormat="1" applyFont="1" applyFill="1" applyBorder="1" applyAlignment="1">
      <alignment/>
    </xf>
    <xf numFmtId="186" fontId="13" fillId="5" borderId="1" xfId="19" applyNumberFormat="1" applyFont="1" applyFill="1" applyBorder="1" applyAlignment="1">
      <alignment/>
    </xf>
    <xf numFmtId="186" fontId="18" fillId="5" borderId="1" xfId="19" applyNumberFormat="1" applyFont="1" applyFill="1" applyBorder="1" applyAlignment="1">
      <alignment/>
    </xf>
    <xf numFmtId="186" fontId="17" fillId="5" borderId="1" xfId="19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0" fillId="4" borderId="13" xfId="0" applyFill="1" applyBorder="1" applyAlignment="1">
      <alignment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>
      <alignment horizontal="center" wrapText="1"/>
    </xf>
    <xf numFmtId="41" fontId="13" fillId="0" borderId="0" xfId="18" applyFont="1" applyFill="1" applyBorder="1" applyAlignment="1">
      <alignment/>
    </xf>
    <xf numFmtId="186" fontId="13" fillId="0" borderId="0" xfId="19" applyNumberFormat="1" applyFont="1" applyFill="1" applyBorder="1" applyAlignment="1">
      <alignment/>
    </xf>
    <xf numFmtId="41" fontId="18" fillId="0" borderId="0" xfId="18" applyFont="1" applyFill="1" applyBorder="1" applyAlignment="1">
      <alignment/>
    </xf>
    <xf numFmtId="186" fontId="18" fillId="0" borderId="0" xfId="19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6" borderId="13" xfId="0" applyFont="1" applyFill="1" applyBorder="1" applyAlignment="1">
      <alignment/>
    </xf>
    <xf numFmtId="1" fontId="0" fillId="0" borderId="15" xfId="0" applyNumberFormat="1" applyBorder="1" applyAlignment="1">
      <alignment/>
    </xf>
    <xf numFmtId="41" fontId="11" fillId="0" borderId="0" xfId="18" applyFont="1" applyFill="1" applyBorder="1" applyAlignment="1">
      <alignment/>
    </xf>
    <xf numFmtId="186" fontId="11" fillId="0" borderId="0" xfId="19" applyNumberFormat="1" applyFont="1" applyFill="1" applyBorder="1" applyAlignment="1">
      <alignment/>
    </xf>
    <xf numFmtId="41" fontId="7" fillId="0" borderId="0" xfId="18" applyFont="1" applyFill="1" applyBorder="1" applyAlignment="1">
      <alignment/>
    </xf>
    <xf numFmtId="186" fontId="7" fillId="0" borderId="0" xfId="19" applyNumberFormat="1" applyFont="1" applyFill="1" applyBorder="1" applyAlignment="1">
      <alignment/>
    </xf>
    <xf numFmtId="1" fontId="0" fillId="0" borderId="0" xfId="18" applyNumberFormat="1" applyFill="1" applyBorder="1" applyAlignment="1">
      <alignment horizontal="left" indent="3"/>
    </xf>
    <xf numFmtId="176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41" fontId="10" fillId="0" borderId="0" xfId="18" applyFont="1" applyFill="1" applyBorder="1" applyAlignment="1">
      <alignment/>
    </xf>
    <xf numFmtId="186" fontId="10" fillId="0" borderId="0" xfId="19" applyNumberFormat="1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0" fillId="4" borderId="0" xfId="0" applyFill="1" applyBorder="1" applyAlignment="1">
      <alignment/>
    </xf>
    <xf numFmtId="10" fontId="0" fillId="4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187" fontId="0" fillId="4" borderId="6" xfId="0" applyNumberFormat="1" applyFill="1" applyBorder="1" applyAlignment="1">
      <alignment/>
    </xf>
    <xf numFmtId="0" fontId="0" fillId="0" borderId="6" xfId="0" applyBorder="1" applyAlignment="1">
      <alignment/>
    </xf>
    <xf numFmtId="174" fontId="0" fillId="0" borderId="6" xfId="0" applyNumberFormat="1" applyBorder="1" applyAlignment="1">
      <alignment/>
    </xf>
    <xf numFmtId="187" fontId="0" fillId="0" borderId="6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" fontId="9" fillId="0" borderId="15" xfId="0" applyNumberFormat="1" applyFont="1" applyBorder="1" applyAlignment="1">
      <alignment/>
    </xf>
    <xf numFmtId="41" fontId="17" fillId="5" borderId="2" xfId="18" applyFont="1" applyFill="1" applyBorder="1" applyAlignment="1">
      <alignment/>
    </xf>
    <xf numFmtId="186" fontId="17" fillId="5" borderId="2" xfId="19" applyNumberFormat="1" applyFont="1" applyFill="1" applyBorder="1" applyAlignment="1">
      <alignment/>
    </xf>
    <xf numFmtId="0" fontId="3" fillId="0" borderId="2" xfId="0" applyFont="1" applyBorder="1" applyAlignment="1">
      <alignment horizontal="left"/>
    </xf>
    <xf numFmtId="186" fontId="0" fillId="0" borderId="0" xfId="19" applyNumberFormat="1" applyBorder="1" applyAlignment="1">
      <alignment/>
    </xf>
    <xf numFmtId="0" fontId="12" fillId="0" borderId="0" xfId="0" applyFont="1" applyFill="1" applyBorder="1" applyAlignment="1">
      <alignment horizontal="left" wrapText="1"/>
    </xf>
    <xf numFmtId="1" fontId="0" fillId="0" borderId="1" xfId="18" applyNumberFormat="1" applyBorder="1" applyAlignment="1">
      <alignment horizontal="left" indent="3"/>
    </xf>
    <xf numFmtId="175" fontId="0" fillId="0" borderId="1" xfId="0" applyNumberFormat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0" borderId="15" xfId="0" applyBorder="1" applyAlignment="1">
      <alignment/>
    </xf>
    <xf numFmtId="174" fontId="7" fillId="2" borderId="15" xfId="0" applyNumberFormat="1" applyFont="1" applyFill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187" fontId="0" fillId="4" borderId="1" xfId="0" applyNumberFormat="1" applyFill="1" applyBorder="1" applyAlignment="1">
      <alignment/>
    </xf>
    <xf numFmtId="187" fontId="0" fillId="3" borderId="1" xfId="0" applyNumberFormat="1" applyFill="1" applyBorder="1" applyAlignment="1">
      <alignment/>
    </xf>
    <xf numFmtId="175" fontId="0" fillId="4" borderId="1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4" xfId="0" applyFill="1" applyBorder="1" applyAlignment="1">
      <alignment/>
    </xf>
    <xf numFmtId="187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/>
    </xf>
    <xf numFmtId="1" fontId="15" fillId="0" borderId="1" xfId="0" applyNumberFormat="1" applyFont="1" applyBorder="1" applyAlignment="1">
      <alignment horizontal="right"/>
    </xf>
    <xf numFmtId="174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174" fontId="0" fillId="0" borderId="1" xfId="0" applyNumberFormat="1" applyFont="1" applyBorder="1" applyAlignment="1">
      <alignment horizontal="center"/>
    </xf>
    <xf numFmtId="175" fontId="0" fillId="6" borderId="1" xfId="0" applyNumberFormat="1" applyFill="1" applyBorder="1" applyAlignment="1">
      <alignment/>
    </xf>
    <xf numFmtId="0" fontId="0" fillId="0" borderId="8" xfId="0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3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187" fontId="0" fillId="4" borderId="13" xfId="0" applyNumberFormat="1" applyFill="1" applyBorder="1" applyAlignment="1">
      <alignment/>
    </xf>
    <xf numFmtId="41" fontId="0" fillId="2" borderId="13" xfId="0" applyNumberFormat="1" applyFill="1" applyBorder="1" applyAlignment="1">
      <alignment/>
    </xf>
    <xf numFmtId="187" fontId="0" fillId="3" borderId="13" xfId="0" applyNumberFormat="1" applyFill="1" applyBorder="1" applyAlignment="1">
      <alignment/>
    </xf>
    <xf numFmtId="187" fontId="0" fillId="2" borderId="13" xfId="0" applyNumberFormat="1" applyFill="1" applyBorder="1" applyAlignment="1">
      <alignment/>
    </xf>
    <xf numFmtId="187" fontId="0" fillId="6" borderId="13" xfId="0" applyNumberFormat="1" applyFill="1" applyBorder="1" applyAlignment="1">
      <alignment/>
    </xf>
    <xf numFmtId="0" fontId="0" fillId="0" borderId="7" xfId="0" applyBorder="1" applyAlignment="1">
      <alignment/>
    </xf>
    <xf numFmtId="187" fontId="0" fillId="6" borderId="7" xfId="0" applyNumberFormat="1" applyFill="1" applyBorder="1" applyAlignment="1">
      <alignment/>
    </xf>
    <xf numFmtId="187" fontId="0" fillId="2" borderId="7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8" xfId="0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3" borderId="10" xfId="0" applyFill="1" applyBorder="1" applyAlignment="1">
      <alignment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1" xfId="0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/>
    </xf>
    <xf numFmtId="41" fontId="7" fillId="5" borderId="11" xfId="18" applyFont="1" applyFill="1" applyBorder="1" applyAlignment="1">
      <alignment/>
    </xf>
    <xf numFmtId="186" fontId="7" fillId="5" borderId="11" xfId="19" applyNumberFormat="1" applyFont="1" applyFill="1" applyBorder="1" applyAlignment="1">
      <alignment/>
    </xf>
    <xf numFmtId="174" fontId="7" fillId="2" borderId="8" xfId="0" applyNumberFormat="1" applyFont="1" applyFill="1" applyBorder="1" applyAlignment="1">
      <alignment horizontal="center"/>
    </xf>
    <xf numFmtId="175" fontId="0" fillId="0" borderId="11" xfId="0" applyNumberFormat="1" applyBorder="1" applyAlignment="1">
      <alignment/>
    </xf>
    <xf numFmtId="187" fontId="0" fillId="4" borderId="10" xfId="0" applyNumberFormat="1" applyFill="1" applyBorder="1" applyAlignment="1">
      <alignment/>
    </xf>
    <xf numFmtId="186" fontId="4" fillId="0" borderId="1" xfId="19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/>
    </xf>
    <xf numFmtId="1" fontId="13" fillId="0" borderId="2" xfId="0" applyNumberFormat="1" applyFont="1" applyBorder="1" applyAlignment="1">
      <alignment/>
    </xf>
    <xf numFmtId="0" fontId="0" fillId="7" borderId="16" xfId="0" applyFill="1" applyBorder="1" applyAlignment="1">
      <alignment/>
    </xf>
    <xf numFmtId="9" fontId="0" fillId="2" borderId="1" xfId="19" applyFill="1" applyBorder="1" applyAlignment="1">
      <alignment/>
    </xf>
    <xf numFmtId="0" fontId="0" fillId="2" borderId="1" xfId="0" applyFill="1" applyBorder="1" applyAlignment="1">
      <alignment/>
    </xf>
    <xf numFmtId="17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8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3" borderId="1" xfId="19" applyFill="1" applyBorder="1" applyAlignment="1">
      <alignment/>
    </xf>
    <xf numFmtId="9" fontId="0" fillId="0" borderId="0" xfId="19" applyAlignment="1">
      <alignment/>
    </xf>
    <xf numFmtId="0" fontId="10" fillId="0" borderId="0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Fill="1" applyBorder="1" applyAlignment="1">
      <alignment horizontal="center" vertical="justify" wrapText="1"/>
    </xf>
    <xf numFmtId="0" fontId="6" fillId="0" borderId="17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7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22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0" borderId="23" xfId="0" applyBorder="1" applyAlignment="1">
      <alignment/>
    </xf>
    <xf numFmtId="0" fontId="0" fillId="6" borderId="1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0" borderId="24" xfId="0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10" borderId="1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0" borderId="11" xfId="0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3" borderId="13" xfId="0" applyFont="1" applyFill="1" applyBorder="1" applyAlignment="1">
      <alignment/>
    </xf>
    <xf numFmtId="0" fontId="7" fillId="0" borderId="0" xfId="0" applyFont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9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/>
    </xf>
    <xf numFmtId="0" fontId="20" fillId="8" borderId="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20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80</xdr:row>
      <xdr:rowOff>85725</xdr:rowOff>
    </xdr:from>
    <xdr:to>
      <xdr:col>3</xdr:col>
      <xdr:colOff>161925</xdr:colOff>
      <xdr:row>85</xdr:row>
      <xdr:rowOff>66675</xdr:rowOff>
    </xdr:to>
    <xdr:sp>
      <xdr:nvSpPr>
        <xdr:cNvPr id="1" name="Line 1"/>
        <xdr:cNvSpPr>
          <a:spLocks/>
        </xdr:cNvSpPr>
      </xdr:nvSpPr>
      <xdr:spPr>
        <a:xfrm>
          <a:off x="3790950" y="132778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81</xdr:row>
      <xdr:rowOff>104775</xdr:rowOff>
    </xdr:from>
    <xdr:to>
      <xdr:col>3</xdr:col>
      <xdr:colOff>276225</xdr:colOff>
      <xdr:row>84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3905250" y="134588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23925" y="19050"/>
          <a:ext cx="3524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gista\Desktop\StudioAllacc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acci Idrici"/>
      <sheetName val="Allacci Fognatura"/>
      <sheetName val="Preparazione Allacci"/>
      <sheetName val="Spostamento"/>
      <sheetName val="Riattivazioni"/>
      <sheetName val="Totali Pratiche"/>
      <sheetName val="Riepilogo"/>
      <sheetName val="2004-2005"/>
      <sheetName val="Senza Spostamenti 04-05"/>
      <sheetName val="Con Spostamenti 04-05"/>
      <sheetName val="CaricoLuglio04-05(a-b)"/>
      <sheetName val="Limite Inf."/>
      <sheetName val="Limite Sup."/>
      <sheetName val="CasoIntermedioNoSpostamenti"/>
      <sheetName val="CasoIntermedioConSpostamenti"/>
      <sheetName val="Preventivisti Dedicati"/>
    </sheetNames>
    <sheetDataSet>
      <sheetData sheetId="6">
        <row r="3">
          <cell r="G3">
            <v>1743</v>
          </cell>
        </row>
        <row r="4">
          <cell r="G4">
            <v>1283</v>
          </cell>
        </row>
        <row r="5">
          <cell r="G5">
            <v>2458</v>
          </cell>
        </row>
        <row r="6">
          <cell r="G6">
            <v>2082</v>
          </cell>
        </row>
        <row r="7">
          <cell r="G7">
            <v>1041</v>
          </cell>
        </row>
        <row r="8">
          <cell r="G8">
            <v>952</v>
          </cell>
        </row>
        <row r="43">
          <cell r="G43">
            <v>1786.1481481481483</v>
          </cell>
        </row>
        <row r="44">
          <cell r="G44">
            <v>1375.1111111111113</v>
          </cell>
        </row>
        <row r="45">
          <cell r="G45">
            <v>2262.666666666667</v>
          </cell>
        </row>
        <row r="46">
          <cell r="G46">
            <v>2200.1481481481483</v>
          </cell>
        </row>
        <row r="47">
          <cell r="G47">
            <v>869.7407407407408</v>
          </cell>
        </row>
        <row r="48">
          <cell r="G48">
            <v>1022.7037037037037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AK174"/>
  <sheetViews>
    <sheetView workbookViewId="0" topLeftCell="AC91">
      <selection activeCell="AC104" sqref="AC104:AM104"/>
    </sheetView>
  </sheetViews>
  <sheetFormatPr defaultColWidth="9.140625" defaultRowHeight="12.75"/>
  <cols>
    <col min="1" max="1" width="11.57421875" style="0" bestFit="1" customWidth="1"/>
    <col min="2" max="2" width="8.7109375" style="0" bestFit="1" customWidth="1"/>
    <col min="4" max="4" width="6.57421875" style="0" bestFit="1" customWidth="1"/>
    <col min="5" max="5" width="6.421875" style="0" bestFit="1" customWidth="1"/>
    <col min="6" max="6" width="7.7109375" style="0" bestFit="1" customWidth="1"/>
    <col min="7" max="7" width="7.57421875" style="0" bestFit="1" customWidth="1"/>
    <col min="8" max="8" width="6.7109375" style="0" bestFit="1" customWidth="1"/>
    <col min="9" max="9" width="7.140625" style="0" bestFit="1" customWidth="1"/>
    <col min="10" max="10" width="10.421875" style="0" bestFit="1" customWidth="1"/>
    <col min="11" max="11" width="7.7109375" style="0" bestFit="1" customWidth="1"/>
    <col min="12" max="12" width="10.28125" style="0" bestFit="1" customWidth="1"/>
    <col min="23" max="23" width="7.7109375" style="15" bestFit="1" customWidth="1"/>
    <col min="24" max="24" width="10.28125" style="15" bestFit="1" customWidth="1"/>
    <col min="25" max="25" width="9.7109375" style="15" bestFit="1" customWidth="1"/>
    <col min="26" max="26" width="21.140625" style="0" bestFit="1" customWidth="1"/>
    <col min="27" max="27" width="15.8515625" style="0" bestFit="1" customWidth="1"/>
    <col min="28" max="28" width="11.57421875" style="0" bestFit="1" customWidth="1"/>
    <col min="29" max="29" width="13.8515625" style="0" bestFit="1" customWidth="1"/>
    <col min="30" max="31" width="24.00390625" style="0" bestFit="1" customWidth="1"/>
    <col min="32" max="32" width="12.421875" style="0" bestFit="1" customWidth="1"/>
    <col min="33" max="35" width="13.140625" style="0" bestFit="1" customWidth="1"/>
  </cols>
  <sheetData>
    <row r="1" spans="1:29" s="17" customFormat="1" ht="12.75">
      <c r="A1" s="219" t="s">
        <v>87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32"/>
      <c r="X1" s="32"/>
      <c r="Y1" s="32"/>
      <c r="AC1" s="50" t="s">
        <v>122</v>
      </c>
    </row>
    <row r="2" ht="12.75">
      <c r="AC2" s="16">
        <f aca="true" t="shared" si="0" ref="AC2:AC7">Z88</f>
        <v>202</v>
      </c>
    </row>
    <row r="3" spans="1:29" ht="12.75">
      <c r="A3" s="1" t="s">
        <v>0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9" t="s">
        <v>88</v>
      </c>
      <c r="O3" s="19" t="s">
        <v>89</v>
      </c>
      <c r="P3" s="19" t="s">
        <v>90</v>
      </c>
      <c r="Q3" s="19" t="s">
        <v>91</v>
      </c>
      <c r="R3" s="19" t="s">
        <v>92</v>
      </c>
      <c r="S3" s="19" t="s">
        <v>93</v>
      </c>
      <c r="T3" s="19" t="s">
        <v>94</v>
      </c>
      <c r="U3" s="19" t="s">
        <v>95</v>
      </c>
      <c r="V3" s="19" t="s">
        <v>96</v>
      </c>
      <c r="W3" s="33" t="s">
        <v>97</v>
      </c>
      <c r="X3" s="33" t="s">
        <v>98</v>
      </c>
      <c r="Y3" s="33" t="s">
        <v>99</v>
      </c>
      <c r="Z3" s="50" t="s">
        <v>122</v>
      </c>
      <c r="AA3" s="35" t="s">
        <v>100</v>
      </c>
      <c r="AB3" s="34"/>
      <c r="AC3" s="16">
        <f t="shared" si="0"/>
        <v>155</v>
      </c>
    </row>
    <row r="4" spans="1:29" ht="12.75">
      <c r="A4" s="7" t="s">
        <v>2</v>
      </c>
      <c r="B4" s="8">
        <v>80</v>
      </c>
      <c r="C4" s="8">
        <v>94</v>
      </c>
      <c r="D4" s="8">
        <v>118</v>
      </c>
      <c r="E4" s="8">
        <v>88</v>
      </c>
      <c r="F4" s="8">
        <v>90</v>
      </c>
      <c r="G4" s="8">
        <v>108</v>
      </c>
      <c r="H4" s="8">
        <v>85</v>
      </c>
      <c r="I4" s="8">
        <v>55</v>
      </c>
      <c r="J4" s="8">
        <v>100</v>
      </c>
      <c r="K4" s="8">
        <v>82</v>
      </c>
      <c r="L4" s="8">
        <v>60</v>
      </c>
      <c r="M4" s="8">
        <v>61</v>
      </c>
      <c r="N4" s="8">
        <v>64</v>
      </c>
      <c r="O4" s="8">
        <v>73</v>
      </c>
      <c r="P4" s="8">
        <v>68</v>
      </c>
      <c r="Q4" s="8">
        <v>71</v>
      </c>
      <c r="R4" s="8">
        <v>71</v>
      </c>
      <c r="S4" s="8">
        <v>61</v>
      </c>
      <c r="T4" s="8">
        <v>73</v>
      </c>
      <c r="U4" s="8">
        <v>52</v>
      </c>
      <c r="V4" s="8">
        <v>77</v>
      </c>
      <c r="W4" s="36">
        <f aca="true" t="shared" si="1" ref="W4:Y9">SUM(T4:V4)*1/3</f>
        <v>67.33333333333333</v>
      </c>
      <c r="X4" s="37">
        <f t="shared" si="1"/>
        <v>65.44444444444444</v>
      </c>
      <c r="Y4" s="38">
        <f t="shared" si="1"/>
        <v>69.92592592592592</v>
      </c>
      <c r="Z4">
        <f aca="true" t="shared" si="2" ref="Z4:Z9">MAX(B4:Y4)</f>
        <v>118</v>
      </c>
      <c r="AA4">
        <v>53</v>
      </c>
      <c r="AC4" s="16">
        <f t="shared" si="0"/>
        <v>262</v>
      </c>
    </row>
    <row r="5" spans="1:29" ht="12.75">
      <c r="A5" s="7" t="s">
        <v>5</v>
      </c>
      <c r="B5" s="8">
        <v>73</v>
      </c>
      <c r="C5" s="8">
        <v>58</v>
      </c>
      <c r="D5" s="8">
        <v>56</v>
      </c>
      <c r="E5" s="8">
        <v>53</v>
      </c>
      <c r="F5" s="8">
        <v>48</v>
      </c>
      <c r="G5" s="8">
        <v>54</v>
      </c>
      <c r="H5" s="8">
        <v>41</v>
      </c>
      <c r="I5" s="8">
        <v>31</v>
      </c>
      <c r="J5" s="8">
        <v>51</v>
      </c>
      <c r="K5" s="8">
        <v>31</v>
      </c>
      <c r="L5" s="8">
        <v>31</v>
      </c>
      <c r="M5" s="8">
        <v>20</v>
      </c>
      <c r="N5" s="8">
        <v>34</v>
      </c>
      <c r="O5" s="8">
        <v>31</v>
      </c>
      <c r="P5" s="8">
        <v>34</v>
      </c>
      <c r="Q5" s="8">
        <v>36</v>
      </c>
      <c r="R5" s="8">
        <v>45</v>
      </c>
      <c r="S5" s="8">
        <v>38</v>
      </c>
      <c r="T5" s="8">
        <v>33</v>
      </c>
      <c r="U5" s="8">
        <v>36</v>
      </c>
      <c r="V5" s="8">
        <v>35</v>
      </c>
      <c r="W5" s="39">
        <f t="shared" si="1"/>
        <v>34.666666666666664</v>
      </c>
      <c r="X5" s="40">
        <f t="shared" si="1"/>
        <v>35.22222222222222</v>
      </c>
      <c r="Y5" s="41">
        <f t="shared" si="1"/>
        <v>34.96296296296296</v>
      </c>
      <c r="Z5">
        <f t="shared" si="2"/>
        <v>73</v>
      </c>
      <c r="AA5">
        <v>14</v>
      </c>
      <c r="AC5" s="16">
        <f t="shared" si="0"/>
        <v>227</v>
      </c>
    </row>
    <row r="6" spans="1:29" ht="12.75">
      <c r="A6" s="7" t="s">
        <v>7</v>
      </c>
      <c r="B6" s="8">
        <v>135</v>
      </c>
      <c r="C6" s="8">
        <v>137</v>
      </c>
      <c r="D6" s="8">
        <v>139</v>
      </c>
      <c r="E6" s="8">
        <v>147</v>
      </c>
      <c r="F6" s="8">
        <v>129</v>
      </c>
      <c r="G6" s="5">
        <v>151</v>
      </c>
      <c r="H6" s="5">
        <v>151</v>
      </c>
      <c r="I6" s="8">
        <v>81</v>
      </c>
      <c r="J6" s="8">
        <v>133</v>
      </c>
      <c r="K6" s="8">
        <v>91</v>
      </c>
      <c r="L6" s="8">
        <v>71</v>
      </c>
      <c r="M6" s="8">
        <v>84</v>
      </c>
      <c r="N6" s="8">
        <v>82</v>
      </c>
      <c r="O6" s="8">
        <v>88</v>
      </c>
      <c r="P6" s="8">
        <v>104</v>
      </c>
      <c r="Q6" s="8">
        <v>78</v>
      </c>
      <c r="R6" s="8">
        <v>118</v>
      </c>
      <c r="S6" s="8">
        <v>101</v>
      </c>
      <c r="T6" s="8">
        <v>125</v>
      </c>
      <c r="U6" s="8">
        <v>84</v>
      </c>
      <c r="V6" s="8">
        <v>99</v>
      </c>
      <c r="W6" s="39">
        <f t="shared" si="1"/>
        <v>102.66666666666667</v>
      </c>
      <c r="X6" s="40">
        <f t="shared" si="1"/>
        <v>95.22222222222223</v>
      </c>
      <c r="Y6" s="41">
        <f t="shared" si="1"/>
        <v>98.96296296296298</v>
      </c>
      <c r="Z6">
        <f t="shared" si="2"/>
        <v>151</v>
      </c>
      <c r="AA6">
        <v>39</v>
      </c>
      <c r="AC6" s="16">
        <f t="shared" si="0"/>
        <v>140</v>
      </c>
    </row>
    <row r="7" spans="1:29" ht="12.75">
      <c r="A7" s="7" t="s">
        <v>9</v>
      </c>
      <c r="B7" s="8">
        <v>109</v>
      </c>
      <c r="C7" s="8">
        <v>103</v>
      </c>
      <c r="D7" s="8">
        <v>109</v>
      </c>
      <c r="E7" s="8">
        <v>132</v>
      </c>
      <c r="F7" s="8">
        <v>113</v>
      </c>
      <c r="G7" s="8">
        <v>140</v>
      </c>
      <c r="H7" s="8">
        <v>95</v>
      </c>
      <c r="I7" s="8">
        <v>67</v>
      </c>
      <c r="J7" s="8">
        <v>108</v>
      </c>
      <c r="K7" s="8">
        <v>100</v>
      </c>
      <c r="L7" s="8">
        <v>79</v>
      </c>
      <c r="M7" s="8">
        <v>75</v>
      </c>
      <c r="N7" s="8">
        <v>106</v>
      </c>
      <c r="O7" s="8">
        <v>82</v>
      </c>
      <c r="P7" s="8">
        <v>101</v>
      </c>
      <c r="Q7" s="8">
        <v>87</v>
      </c>
      <c r="R7" s="8">
        <v>101</v>
      </c>
      <c r="S7" s="8">
        <v>77</v>
      </c>
      <c r="T7" s="8">
        <v>89</v>
      </c>
      <c r="U7" s="8">
        <v>54</v>
      </c>
      <c r="V7" s="8">
        <v>88</v>
      </c>
      <c r="W7" s="39">
        <f t="shared" si="1"/>
        <v>77</v>
      </c>
      <c r="X7" s="40">
        <f t="shared" si="1"/>
        <v>73</v>
      </c>
      <c r="Y7" s="41">
        <f t="shared" si="1"/>
        <v>79.33333333333333</v>
      </c>
      <c r="Z7">
        <f t="shared" si="2"/>
        <v>140</v>
      </c>
      <c r="AA7">
        <v>40</v>
      </c>
      <c r="AC7" s="16">
        <f t="shared" si="0"/>
        <v>119</v>
      </c>
    </row>
    <row r="8" spans="1:27" ht="12.75">
      <c r="A8" s="7" t="s">
        <v>11</v>
      </c>
      <c r="B8" s="8">
        <v>71</v>
      </c>
      <c r="C8" s="8">
        <v>67</v>
      </c>
      <c r="D8" s="8">
        <v>64</v>
      </c>
      <c r="E8" s="8">
        <v>54</v>
      </c>
      <c r="F8" s="8">
        <v>46</v>
      </c>
      <c r="G8" s="8">
        <v>49</v>
      </c>
      <c r="H8" s="8">
        <v>42</v>
      </c>
      <c r="I8" s="8">
        <v>20</v>
      </c>
      <c r="J8" s="8">
        <v>51</v>
      </c>
      <c r="K8" s="8">
        <v>34</v>
      </c>
      <c r="L8" s="8">
        <v>31</v>
      </c>
      <c r="M8" s="8">
        <v>35</v>
      </c>
      <c r="N8" s="8">
        <v>32</v>
      </c>
      <c r="O8" s="8">
        <v>35</v>
      </c>
      <c r="P8" s="8">
        <v>30</v>
      </c>
      <c r="Q8" s="8">
        <v>39</v>
      </c>
      <c r="R8" s="8">
        <v>50</v>
      </c>
      <c r="S8" s="8">
        <v>53</v>
      </c>
      <c r="T8" s="8">
        <v>45</v>
      </c>
      <c r="U8" s="8">
        <v>15</v>
      </c>
      <c r="V8" s="8">
        <v>32</v>
      </c>
      <c r="W8" s="39">
        <f t="shared" si="1"/>
        <v>30.666666666666668</v>
      </c>
      <c r="X8" s="40">
        <f t="shared" si="1"/>
        <v>25.88888888888889</v>
      </c>
      <c r="Y8" s="41">
        <f t="shared" si="1"/>
        <v>29.51851851851852</v>
      </c>
      <c r="Z8">
        <f t="shared" si="2"/>
        <v>71</v>
      </c>
      <c r="AA8">
        <v>29</v>
      </c>
    </row>
    <row r="9" spans="1:29" ht="12.75">
      <c r="A9" s="7" t="s">
        <v>13</v>
      </c>
      <c r="B9" s="8">
        <v>37</v>
      </c>
      <c r="C9" s="8">
        <v>36</v>
      </c>
      <c r="D9" s="8">
        <v>36</v>
      </c>
      <c r="E9" s="8">
        <v>35</v>
      </c>
      <c r="F9" s="8">
        <v>27</v>
      </c>
      <c r="G9" s="8">
        <v>40</v>
      </c>
      <c r="H9" s="8">
        <v>39</v>
      </c>
      <c r="I9" s="8">
        <v>25</v>
      </c>
      <c r="J9" s="8">
        <v>45</v>
      </c>
      <c r="K9" s="8">
        <v>28</v>
      </c>
      <c r="L9" s="8">
        <v>26</v>
      </c>
      <c r="M9" s="8">
        <v>18</v>
      </c>
      <c r="N9" s="8">
        <v>31</v>
      </c>
      <c r="O9" s="8">
        <v>35</v>
      </c>
      <c r="P9" s="8">
        <v>28</v>
      </c>
      <c r="Q9" s="8">
        <v>32</v>
      </c>
      <c r="R9" s="8">
        <v>35</v>
      </c>
      <c r="S9" s="8">
        <v>21</v>
      </c>
      <c r="T9" s="8">
        <v>49</v>
      </c>
      <c r="U9" s="8">
        <v>26</v>
      </c>
      <c r="V9" s="8">
        <v>47</v>
      </c>
      <c r="W9" s="42">
        <f t="shared" si="1"/>
        <v>40.666666666666664</v>
      </c>
      <c r="X9" s="43">
        <f t="shared" si="1"/>
        <v>37.888888888888886</v>
      </c>
      <c r="Y9" s="44">
        <f t="shared" si="1"/>
        <v>41.85185185185185</v>
      </c>
      <c r="Z9">
        <f t="shared" si="2"/>
        <v>49</v>
      </c>
      <c r="AA9">
        <v>13</v>
      </c>
      <c r="AC9" s="50" t="s">
        <v>123</v>
      </c>
    </row>
    <row r="11" spans="1:29" ht="12.75">
      <c r="A11" s="7" t="s">
        <v>2</v>
      </c>
      <c r="B11" s="8">
        <f aca="true" t="shared" si="3" ref="B11:B16">SUM(B4:M4)</f>
        <v>1021</v>
      </c>
      <c r="M11" s="7" t="s">
        <v>2</v>
      </c>
      <c r="N11" s="77">
        <f aca="true" t="shared" si="4" ref="N11:N16">SUM(N4:Y4)</f>
        <v>812.7037037037037</v>
      </c>
      <c r="P11" s="15"/>
      <c r="Q11" s="52" t="s">
        <v>2</v>
      </c>
      <c r="R11" s="68">
        <f aca="true" t="shared" si="5" ref="R11:R16">SUM(N4:V4)</f>
        <v>610</v>
      </c>
      <c r="AC11" s="50" t="s">
        <v>121</v>
      </c>
    </row>
    <row r="12" spans="1:18" ht="12.75">
      <c r="A12" s="7" t="s">
        <v>5</v>
      </c>
      <c r="B12" s="8">
        <f t="shared" si="3"/>
        <v>547</v>
      </c>
      <c r="M12" s="7" t="s">
        <v>5</v>
      </c>
      <c r="N12" s="77">
        <f t="shared" si="4"/>
        <v>426.85185185185185</v>
      </c>
      <c r="Q12" s="52" t="s">
        <v>5</v>
      </c>
      <c r="R12" s="68">
        <f t="shared" si="5"/>
        <v>322</v>
      </c>
    </row>
    <row r="13" spans="1:34" ht="12.75">
      <c r="A13" s="7" t="s">
        <v>7</v>
      </c>
      <c r="B13" s="8">
        <f t="shared" si="3"/>
        <v>1449</v>
      </c>
      <c r="M13" s="7" t="s">
        <v>7</v>
      </c>
      <c r="N13" s="77">
        <f t="shared" si="4"/>
        <v>1175.851851851852</v>
      </c>
      <c r="Q13" s="52" t="s">
        <v>7</v>
      </c>
      <c r="R13" s="68">
        <f t="shared" si="5"/>
        <v>879</v>
      </c>
      <c r="AC13" s="1" t="s">
        <v>0</v>
      </c>
      <c r="AD13" s="1" t="s">
        <v>110</v>
      </c>
      <c r="AE13" s="1" t="s">
        <v>120</v>
      </c>
      <c r="AF13" s="1" t="s">
        <v>119</v>
      </c>
      <c r="AG13" s="1" t="s">
        <v>111</v>
      </c>
      <c r="AH13" s="53" t="s">
        <v>106</v>
      </c>
    </row>
    <row r="14" spans="1:34" ht="12.75">
      <c r="A14" s="7" t="s">
        <v>9</v>
      </c>
      <c r="B14" s="8">
        <f t="shared" si="3"/>
        <v>1230</v>
      </c>
      <c r="M14" s="7" t="s">
        <v>9</v>
      </c>
      <c r="N14" s="77">
        <f t="shared" si="4"/>
        <v>1014.3333333333334</v>
      </c>
      <c r="Q14" s="52" t="s">
        <v>9</v>
      </c>
      <c r="R14" s="68">
        <f t="shared" si="5"/>
        <v>785</v>
      </c>
      <c r="AC14" s="7" t="s">
        <v>2</v>
      </c>
      <c r="AD14" s="16">
        <v>202</v>
      </c>
      <c r="AE14" s="24">
        <f aca="true" t="shared" si="6" ref="AE14:AE19">AD14/AF14/22</f>
        <v>2.8693181818181817</v>
      </c>
      <c r="AF14" s="30">
        <v>3.2</v>
      </c>
      <c r="AG14" s="51">
        <v>4</v>
      </c>
      <c r="AH14" s="8">
        <f>-AH18</f>
        <v>0.2</v>
      </c>
    </row>
    <row r="15" spans="1:34" ht="12.75">
      <c r="A15" s="7" t="s">
        <v>11</v>
      </c>
      <c r="B15" s="8">
        <f t="shared" si="3"/>
        <v>564</v>
      </c>
      <c r="M15" s="7" t="s">
        <v>11</v>
      </c>
      <c r="N15" s="77">
        <f t="shared" si="4"/>
        <v>417.07407407407413</v>
      </c>
      <c r="Q15" s="52" t="s">
        <v>11</v>
      </c>
      <c r="R15" s="68">
        <f t="shared" si="5"/>
        <v>331</v>
      </c>
      <c r="AC15" s="7" t="s">
        <v>5</v>
      </c>
      <c r="AD15" s="16">
        <v>155</v>
      </c>
      <c r="AE15" s="24">
        <f t="shared" si="6"/>
        <v>3.2024793388429753</v>
      </c>
      <c r="AF15" s="30">
        <v>2.2</v>
      </c>
      <c r="AG15" s="51">
        <v>3</v>
      </c>
      <c r="AH15" s="8">
        <f>-AH19</f>
        <v>0.2</v>
      </c>
    </row>
    <row r="16" spans="1:34" ht="12.75">
      <c r="A16" s="7" t="s">
        <v>13</v>
      </c>
      <c r="B16" s="8">
        <f t="shared" si="3"/>
        <v>392</v>
      </c>
      <c r="M16" s="7" t="s">
        <v>13</v>
      </c>
      <c r="N16" s="77">
        <f t="shared" si="4"/>
        <v>424.4074074074074</v>
      </c>
      <c r="Q16" s="52" t="s">
        <v>13</v>
      </c>
      <c r="R16" s="68">
        <f t="shared" si="5"/>
        <v>304</v>
      </c>
      <c r="AC16" s="7" t="s">
        <v>7</v>
      </c>
      <c r="AD16" s="16">
        <v>262</v>
      </c>
      <c r="AE16" s="24">
        <f t="shared" si="6"/>
        <v>2.8354978354978355</v>
      </c>
      <c r="AF16" s="30">
        <v>4.2</v>
      </c>
      <c r="AG16" s="51">
        <v>3</v>
      </c>
      <c r="AH16" s="8">
        <f>-AH17</f>
        <v>0.2</v>
      </c>
    </row>
    <row r="17" spans="2:34" ht="12.75">
      <c r="B17">
        <f>SUM(B11:B16)</f>
        <v>5203</v>
      </c>
      <c r="AC17" s="7" t="s">
        <v>9</v>
      </c>
      <c r="AD17" s="16">
        <v>227</v>
      </c>
      <c r="AE17" s="24">
        <f t="shared" si="6"/>
        <v>2.715311004784689</v>
      </c>
      <c r="AF17" s="30">
        <v>3.8</v>
      </c>
      <c r="AG17" s="51">
        <v>4</v>
      </c>
      <c r="AH17" s="8">
        <v>-0.2</v>
      </c>
    </row>
    <row r="18" spans="1:34" ht="12.75">
      <c r="A18" s="220" t="s">
        <v>101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AC18" s="7" t="s">
        <v>11</v>
      </c>
      <c r="AD18" s="16">
        <v>140</v>
      </c>
      <c r="AE18" s="24">
        <f t="shared" si="6"/>
        <v>3.1818181818181817</v>
      </c>
      <c r="AF18" s="30">
        <v>2</v>
      </c>
      <c r="AG18" s="51">
        <v>2</v>
      </c>
      <c r="AH18" s="8">
        <v>-0.2</v>
      </c>
    </row>
    <row r="19" spans="29:34" ht="12.75">
      <c r="AC19" s="7" t="s">
        <v>13</v>
      </c>
      <c r="AD19" s="16">
        <v>119</v>
      </c>
      <c r="AE19" s="24">
        <f t="shared" si="6"/>
        <v>3.3806818181818183</v>
      </c>
      <c r="AF19" s="30">
        <v>1.6</v>
      </c>
      <c r="AG19" s="51">
        <v>2</v>
      </c>
      <c r="AH19" s="8">
        <v>-0.2</v>
      </c>
    </row>
    <row r="20" spans="1:27" ht="12.75">
      <c r="A20" s="1" t="s">
        <v>0</v>
      </c>
      <c r="B20" s="1" t="s">
        <v>88</v>
      </c>
      <c r="C20" s="1" t="s">
        <v>89</v>
      </c>
      <c r="D20" s="1" t="s">
        <v>90</v>
      </c>
      <c r="E20" s="1" t="s">
        <v>91</v>
      </c>
      <c r="F20" s="1" t="s">
        <v>92</v>
      </c>
      <c r="G20" s="1" t="s">
        <v>93</v>
      </c>
      <c r="H20" s="1" t="s">
        <v>94</v>
      </c>
      <c r="I20" s="1" t="s">
        <v>95</v>
      </c>
      <c r="J20" s="1" t="s">
        <v>96</v>
      </c>
      <c r="K20" s="1" t="s">
        <v>97</v>
      </c>
      <c r="L20" s="1" t="s">
        <v>98</v>
      </c>
      <c r="M20" s="1" t="s">
        <v>99</v>
      </c>
      <c r="N20" s="19" t="s">
        <v>88</v>
      </c>
      <c r="O20" s="19" t="s">
        <v>89</v>
      </c>
      <c r="P20" s="19" t="s">
        <v>90</v>
      </c>
      <c r="Q20" s="19" t="s">
        <v>91</v>
      </c>
      <c r="R20" s="19" t="s">
        <v>92</v>
      </c>
      <c r="S20" s="19" t="s">
        <v>93</v>
      </c>
      <c r="T20" s="19" t="s">
        <v>94</v>
      </c>
      <c r="U20" s="19" t="s">
        <v>95</v>
      </c>
      <c r="V20" s="19" t="s">
        <v>96</v>
      </c>
      <c r="W20" s="33" t="s">
        <v>97</v>
      </c>
      <c r="X20" s="33" t="s">
        <v>98</v>
      </c>
      <c r="Y20" s="33" t="s">
        <v>99</v>
      </c>
      <c r="Z20" s="50" t="s">
        <v>122</v>
      </c>
      <c r="AA20" s="35" t="s">
        <v>100</v>
      </c>
    </row>
    <row r="21" spans="1:29" ht="12.75">
      <c r="A21" s="7" t="s">
        <v>2</v>
      </c>
      <c r="B21" s="8">
        <v>14</v>
      </c>
      <c r="C21" s="8">
        <v>27</v>
      </c>
      <c r="D21" s="8">
        <v>26</v>
      </c>
      <c r="E21" s="8">
        <v>24</v>
      </c>
      <c r="F21" s="8">
        <v>29</v>
      </c>
      <c r="G21" s="8">
        <v>20</v>
      </c>
      <c r="H21" s="8">
        <v>24</v>
      </c>
      <c r="I21" s="8">
        <v>14</v>
      </c>
      <c r="J21" s="8">
        <v>29</v>
      </c>
      <c r="K21" s="8">
        <v>36</v>
      </c>
      <c r="L21" s="8">
        <v>24</v>
      </c>
      <c r="M21" s="8">
        <v>16</v>
      </c>
      <c r="N21" s="8">
        <v>33</v>
      </c>
      <c r="O21" s="8">
        <v>29</v>
      </c>
      <c r="P21" s="8">
        <v>43</v>
      </c>
      <c r="Q21" s="8">
        <v>35</v>
      </c>
      <c r="R21" s="8">
        <v>35</v>
      </c>
      <c r="S21" s="8">
        <v>23</v>
      </c>
      <c r="T21" s="8">
        <v>37</v>
      </c>
      <c r="U21" s="8">
        <v>18</v>
      </c>
      <c r="V21" s="8">
        <v>53</v>
      </c>
      <c r="W21" s="36">
        <f aca="true" t="shared" si="7" ref="W21:Y26">SUM(T21:V21)*1/3</f>
        <v>36</v>
      </c>
      <c r="X21" s="37">
        <f t="shared" si="7"/>
        <v>35.666666666666664</v>
      </c>
      <c r="Y21" s="38">
        <f t="shared" si="7"/>
        <v>41.55555555555555</v>
      </c>
      <c r="Z21">
        <f aca="true" t="shared" si="8" ref="Z21:Z26">MAX(B21:Y21)</f>
        <v>53</v>
      </c>
      <c r="AA21">
        <v>33</v>
      </c>
      <c r="AC21" s="50" t="s">
        <v>124</v>
      </c>
    </row>
    <row r="22" spans="1:27" ht="12.75">
      <c r="A22" s="7" t="s">
        <v>5</v>
      </c>
      <c r="B22" s="8">
        <v>19</v>
      </c>
      <c r="C22" s="8">
        <v>26</v>
      </c>
      <c r="D22" s="8">
        <v>21</v>
      </c>
      <c r="E22" s="8">
        <v>14</v>
      </c>
      <c r="F22" s="8">
        <v>13</v>
      </c>
      <c r="G22" s="8">
        <v>19</v>
      </c>
      <c r="H22" s="8">
        <v>10</v>
      </c>
      <c r="I22" s="8">
        <v>9</v>
      </c>
      <c r="J22" s="8">
        <v>17</v>
      </c>
      <c r="K22" s="8">
        <v>23</v>
      </c>
      <c r="L22" s="8">
        <v>15</v>
      </c>
      <c r="M22" s="8">
        <v>26</v>
      </c>
      <c r="N22" s="8">
        <v>18</v>
      </c>
      <c r="O22" s="8">
        <v>22</v>
      </c>
      <c r="P22" s="8">
        <v>24</v>
      </c>
      <c r="Q22" s="8">
        <v>13</v>
      </c>
      <c r="R22" s="8">
        <v>26</v>
      </c>
      <c r="S22" s="8">
        <v>18</v>
      </c>
      <c r="T22" s="8">
        <v>28</v>
      </c>
      <c r="U22" s="8">
        <v>10</v>
      </c>
      <c r="V22" s="8">
        <v>13</v>
      </c>
      <c r="W22" s="39">
        <f t="shared" si="7"/>
        <v>17</v>
      </c>
      <c r="X22" s="40">
        <f t="shared" si="7"/>
        <v>13.333333333333334</v>
      </c>
      <c r="Y22" s="41">
        <f t="shared" si="7"/>
        <v>14.444444444444445</v>
      </c>
      <c r="Z22">
        <f t="shared" si="8"/>
        <v>28</v>
      </c>
      <c r="AA22">
        <v>7</v>
      </c>
    </row>
    <row r="23" spans="1:29" ht="12.75">
      <c r="A23" s="7" t="s">
        <v>7</v>
      </c>
      <c r="B23" s="8">
        <v>28</v>
      </c>
      <c r="C23" s="8">
        <v>20</v>
      </c>
      <c r="D23" s="8">
        <v>20</v>
      </c>
      <c r="E23" s="8">
        <v>19</v>
      </c>
      <c r="F23" s="8">
        <v>20</v>
      </c>
      <c r="G23" s="8">
        <v>18</v>
      </c>
      <c r="H23" s="8">
        <v>14</v>
      </c>
      <c r="I23" s="8">
        <v>6</v>
      </c>
      <c r="J23" s="8">
        <v>35</v>
      </c>
      <c r="K23" s="8">
        <v>27</v>
      </c>
      <c r="L23" s="8">
        <v>23</v>
      </c>
      <c r="M23" s="8">
        <v>15</v>
      </c>
      <c r="N23" s="8">
        <v>19</v>
      </c>
      <c r="O23" s="8">
        <v>26</v>
      </c>
      <c r="P23" s="8">
        <v>25</v>
      </c>
      <c r="Q23" s="8">
        <v>31</v>
      </c>
      <c r="R23" s="8">
        <v>23</v>
      </c>
      <c r="S23" s="8">
        <v>12</v>
      </c>
      <c r="T23" s="8">
        <v>19</v>
      </c>
      <c r="U23" s="8">
        <v>8</v>
      </c>
      <c r="V23" s="8">
        <v>23</v>
      </c>
      <c r="W23" s="39">
        <f t="shared" si="7"/>
        <v>16.666666666666668</v>
      </c>
      <c r="X23" s="40">
        <f t="shared" si="7"/>
        <v>15.888888888888891</v>
      </c>
      <c r="Y23" s="41">
        <f t="shared" si="7"/>
        <v>18.518518518518523</v>
      </c>
      <c r="Z23">
        <f t="shared" si="8"/>
        <v>35</v>
      </c>
      <c r="AA23">
        <v>8</v>
      </c>
      <c r="AC23" s="50" t="s">
        <v>121</v>
      </c>
    </row>
    <row r="24" spans="1:27" ht="12.75">
      <c r="A24" s="7" t="s">
        <v>9</v>
      </c>
      <c r="B24" s="8">
        <v>29</v>
      </c>
      <c r="C24" s="8">
        <v>20</v>
      </c>
      <c r="D24" s="8">
        <v>30</v>
      </c>
      <c r="E24" s="8">
        <v>21</v>
      </c>
      <c r="F24" s="8">
        <v>22</v>
      </c>
      <c r="G24" s="8">
        <v>27</v>
      </c>
      <c r="H24" s="8">
        <v>18</v>
      </c>
      <c r="I24" s="8">
        <v>10</v>
      </c>
      <c r="J24" s="5">
        <v>44</v>
      </c>
      <c r="K24" s="8">
        <v>33</v>
      </c>
      <c r="L24" s="8">
        <v>26</v>
      </c>
      <c r="M24" s="8">
        <v>25</v>
      </c>
      <c r="N24" s="8">
        <v>28</v>
      </c>
      <c r="O24" s="8">
        <v>28</v>
      </c>
      <c r="P24" s="8">
        <v>27</v>
      </c>
      <c r="Q24" s="8">
        <v>26</v>
      </c>
      <c r="R24" s="8">
        <v>30</v>
      </c>
      <c r="S24" s="8">
        <v>28</v>
      </c>
      <c r="T24" s="8">
        <v>39</v>
      </c>
      <c r="U24" s="8">
        <v>15</v>
      </c>
      <c r="V24" s="8">
        <v>45</v>
      </c>
      <c r="W24" s="39">
        <f t="shared" si="7"/>
        <v>33</v>
      </c>
      <c r="X24" s="40">
        <f t="shared" si="7"/>
        <v>31</v>
      </c>
      <c r="Y24" s="41">
        <f t="shared" si="7"/>
        <v>36.333333333333336</v>
      </c>
      <c r="Z24">
        <f t="shared" si="8"/>
        <v>45</v>
      </c>
      <c r="AA24">
        <v>19</v>
      </c>
    </row>
    <row r="25" spans="1:34" ht="12.75">
      <c r="A25" s="7" t="s">
        <v>11</v>
      </c>
      <c r="B25" s="8">
        <v>14</v>
      </c>
      <c r="C25" s="8">
        <v>17</v>
      </c>
      <c r="D25" s="8">
        <v>14</v>
      </c>
      <c r="E25" s="8">
        <v>12</v>
      </c>
      <c r="F25" s="8">
        <v>8</v>
      </c>
      <c r="G25" s="8">
        <v>12</v>
      </c>
      <c r="H25" s="8">
        <v>6</v>
      </c>
      <c r="I25" s="8">
        <v>0</v>
      </c>
      <c r="J25" s="8">
        <v>16</v>
      </c>
      <c r="K25" s="8">
        <v>27</v>
      </c>
      <c r="L25" s="8">
        <v>13</v>
      </c>
      <c r="M25" s="8">
        <v>6</v>
      </c>
      <c r="N25" s="8">
        <v>16</v>
      </c>
      <c r="O25" s="8">
        <v>20</v>
      </c>
      <c r="P25" s="8">
        <v>18</v>
      </c>
      <c r="Q25" s="8">
        <v>12</v>
      </c>
      <c r="R25" s="8">
        <v>15</v>
      </c>
      <c r="S25" s="8">
        <v>15</v>
      </c>
      <c r="T25" s="8">
        <v>14</v>
      </c>
      <c r="U25" s="8">
        <v>4</v>
      </c>
      <c r="V25" s="8">
        <v>7</v>
      </c>
      <c r="W25" s="39">
        <f t="shared" si="7"/>
        <v>8.333333333333334</v>
      </c>
      <c r="X25" s="40">
        <f t="shared" si="7"/>
        <v>6.4444444444444455</v>
      </c>
      <c r="Y25" s="41">
        <f t="shared" si="7"/>
        <v>7.2592592592592595</v>
      </c>
      <c r="Z25">
        <f t="shared" si="8"/>
        <v>27</v>
      </c>
      <c r="AA25">
        <v>8</v>
      </c>
      <c r="AC25" s="72" t="s">
        <v>0</v>
      </c>
      <c r="AD25" s="72" t="s">
        <v>110</v>
      </c>
      <c r="AE25" s="72" t="s">
        <v>120</v>
      </c>
      <c r="AF25" s="72" t="s">
        <v>119</v>
      </c>
      <c r="AG25" s="72" t="s">
        <v>111</v>
      </c>
      <c r="AH25" s="53" t="s">
        <v>106</v>
      </c>
    </row>
    <row r="26" spans="1:34" ht="12.75">
      <c r="A26" s="7" t="s">
        <v>13</v>
      </c>
      <c r="B26" s="8">
        <v>21</v>
      </c>
      <c r="C26" s="8">
        <v>18</v>
      </c>
      <c r="D26" s="8">
        <v>18</v>
      </c>
      <c r="E26" s="8">
        <v>10</v>
      </c>
      <c r="F26" s="8">
        <v>21</v>
      </c>
      <c r="G26" s="8">
        <v>19</v>
      </c>
      <c r="H26" s="8">
        <v>30</v>
      </c>
      <c r="I26" s="8">
        <v>11</v>
      </c>
      <c r="J26" s="8">
        <v>25</v>
      </c>
      <c r="K26" s="8">
        <v>19</v>
      </c>
      <c r="L26" s="8">
        <v>16</v>
      </c>
      <c r="M26" s="8">
        <v>11</v>
      </c>
      <c r="N26" s="8">
        <v>31</v>
      </c>
      <c r="O26" s="8">
        <v>24</v>
      </c>
      <c r="P26" s="8">
        <v>22</v>
      </c>
      <c r="Q26" s="8">
        <v>14</v>
      </c>
      <c r="R26" s="8">
        <v>19</v>
      </c>
      <c r="S26" s="8">
        <v>12</v>
      </c>
      <c r="T26" s="8">
        <v>30</v>
      </c>
      <c r="U26" s="8">
        <v>13</v>
      </c>
      <c r="V26" s="8">
        <v>20</v>
      </c>
      <c r="W26" s="42">
        <f t="shared" si="7"/>
        <v>21</v>
      </c>
      <c r="X26" s="43">
        <f t="shared" si="7"/>
        <v>18</v>
      </c>
      <c r="Y26" s="44">
        <f t="shared" si="7"/>
        <v>19.666666666666668</v>
      </c>
      <c r="Z26">
        <f t="shared" si="8"/>
        <v>31</v>
      </c>
      <c r="AA26">
        <v>9</v>
      </c>
      <c r="AC26" s="7" t="s">
        <v>2</v>
      </c>
      <c r="AD26" s="16">
        <v>202</v>
      </c>
      <c r="AE26" s="24">
        <f aca="true" t="shared" si="9" ref="AE26:AE31">AD26/AF26/22</f>
        <v>3.0606060606060606</v>
      </c>
      <c r="AF26" s="88">
        <v>3</v>
      </c>
      <c r="AG26" s="51">
        <v>4</v>
      </c>
      <c r="AH26" s="8"/>
    </row>
    <row r="27" spans="27:34" ht="12.75">
      <c r="AA27">
        <f>SUM(AA21:AA26)</f>
        <v>84</v>
      </c>
      <c r="AC27" s="7" t="s">
        <v>5</v>
      </c>
      <c r="AD27" s="16">
        <v>155</v>
      </c>
      <c r="AE27" s="24">
        <f t="shared" si="9"/>
        <v>3.2024793388429753</v>
      </c>
      <c r="AF27" s="88">
        <v>2.2</v>
      </c>
      <c r="AG27" s="51">
        <v>3</v>
      </c>
      <c r="AH27" s="8">
        <f>-AH31</f>
        <v>0.2</v>
      </c>
    </row>
    <row r="28" spans="1:34" ht="12.75">
      <c r="A28" s="7" t="s">
        <v>2</v>
      </c>
      <c r="B28" s="8">
        <f aca="true" t="shared" si="10" ref="B28:B33">SUM(B21:M21)</f>
        <v>283</v>
      </c>
      <c r="D28" s="222" t="s">
        <v>102</v>
      </c>
      <c r="E28" s="223"/>
      <c r="F28" s="8">
        <f aca="true" t="shared" si="11" ref="F28:F33">B11+B28</f>
        <v>1304</v>
      </c>
      <c r="M28" s="7" t="s">
        <v>2</v>
      </c>
      <c r="N28" s="77">
        <f aca="true" t="shared" si="12" ref="N28:N33">SUM(N21:Y21)</f>
        <v>419.22222222222223</v>
      </c>
      <c r="P28" s="222" t="s">
        <v>102</v>
      </c>
      <c r="Q28" s="223"/>
      <c r="R28" s="77">
        <f aca="true" t="shared" si="13" ref="R28:R33">N11+N28</f>
        <v>1231.9259259259259</v>
      </c>
      <c r="T28" s="52" t="s">
        <v>2</v>
      </c>
      <c r="U28" s="68">
        <f aca="true" t="shared" si="14" ref="U28:U33">SUM(N21:V21)</f>
        <v>306</v>
      </c>
      <c r="AC28" s="7" t="s">
        <v>7</v>
      </c>
      <c r="AD28" s="16">
        <v>262</v>
      </c>
      <c r="AE28" s="24">
        <f t="shared" si="9"/>
        <v>3.1757575757575753</v>
      </c>
      <c r="AF28" s="88">
        <v>3.75</v>
      </c>
      <c r="AG28" s="51">
        <v>3</v>
      </c>
      <c r="AH28" s="8">
        <v>-0.25</v>
      </c>
    </row>
    <row r="29" spans="1:34" ht="12.75">
      <c r="A29" s="7" t="s">
        <v>5</v>
      </c>
      <c r="B29" s="8">
        <f t="shared" si="10"/>
        <v>212</v>
      </c>
      <c r="F29" s="8">
        <f t="shared" si="11"/>
        <v>759</v>
      </c>
      <c r="M29" s="7" t="s">
        <v>5</v>
      </c>
      <c r="N29" s="77">
        <f t="shared" si="12"/>
        <v>216.7777777777778</v>
      </c>
      <c r="R29" s="77">
        <f t="shared" si="13"/>
        <v>643.6296296296297</v>
      </c>
      <c r="T29" s="52" t="s">
        <v>5</v>
      </c>
      <c r="U29" s="68">
        <f t="shared" si="14"/>
        <v>172</v>
      </c>
      <c r="AC29" s="7" t="s">
        <v>9</v>
      </c>
      <c r="AD29" s="16">
        <v>227</v>
      </c>
      <c r="AE29" s="24">
        <f t="shared" si="9"/>
        <v>3.1748251748251746</v>
      </c>
      <c r="AF29" s="88">
        <v>3.25</v>
      </c>
      <c r="AG29" s="51">
        <v>4</v>
      </c>
      <c r="AH29" s="8">
        <f>-AH28</f>
        <v>0.25</v>
      </c>
    </row>
    <row r="30" spans="1:34" ht="12.75">
      <c r="A30" s="7" t="s">
        <v>7</v>
      </c>
      <c r="B30" s="8">
        <f t="shared" si="10"/>
        <v>245</v>
      </c>
      <c r="F30" s="8">
        <f t="shared" si="11"/>
        <v>1694</v>
      </c>
      <c r="M30" s="7" t="s">
        <v>7</v>
      </c>
      <c r="N30" s="77">
        <f t="shared" si="12"/>
        <v>237.07407407407408</v>
      </c>
      <c r="R30" s="77">
        <f t="shared" si="13"/>
        <v>1412.925925925926</v>
      </c>
      <c r="T30" s="52" t="s">
        <v>7</v>
      </c>
      <c r="U30" s="68">
        <f t="shared" si="14"/>
        <v>186</v>
      </c>
      <c r="AC30" s="7" t="s">
        <v>11</v>
      </c>
      <c r="AD30" s="16">
        <v>140</v>
      </c>
      <c r="AE30" s="24">
        <f t="shared" si="9"/>
        <v>3.1818181818181817</v>
      </c>
      <c r="AF30" s="88">
        <v>2</v>
      </c>
      <c r="AG30" s="51">
        <v>2</v>
      </c>
      <c r="AH30" s="8"/>
    </row>
    <row r="31" spans="1:34" ht="12.75">
      <c r="A31" s="7" t="s">
        <v>9</v>
      </c>
      <c r="B31" s="8">
        <f t="shared" si="10"/>
        <v>305</v>
      </c>
      <c r="F31" s="8">
        <f t="shared" si="11"/>
        <v>1535</v>
      </c>
      <c r="M31" s="7" t="s">
        <v>9</v>
      </c>
      <c r="N31" s="77">
        <f t="shared" si="12"/>
        <v>366.3333333333333</v>
      </c>
      <c r="R31" s="77">
        <f t="shared" si="13"/>
        <v>1380.6666666666667</v>
      </c>
      <c r="T31" s="52" t="s">
        <v>9</v>
      </c>
      <c r="U31" s="68">
        <f t="shared" si="14"/>
        <v>266</v>
      </c>
      <c r="AC31" s="7" t="s">
        <v>13</v>
      </c>
      <c r="AD31" s="16">
        <v>119</v>
      </c>
      <c r="AE31" s="24">
        <f t="shared" si="9"/>
        <v>3.005050505050505</v>
      </c>
      <c r="AF31" s="88">
        <v>1.8</v>
      </c>
      <c r="AG31" s="51">
        <v>2</v>
      </c>
      <c r="AH31" s="8">
        <v>-0.2</v>
      </c>
    </row>
    <row r="32" spans="1:32" ht="12.75">
      <c r="A32" s="7" t="s">
        <v>11</v>
      </c>
      <c r="B32" s="8">
        <f t="shared" si="10"/>
        <v>145</v>
      </c>
      <c r="F32" s="8">
        <f t="shared" si="11"/>
        <v>709</v>
      </c>
      <c r="M32" s="7" t="s">
        <v>11</v>
      </c>
      <c r="N32" s="77">
        <f t="shared" si="12"/>
        <v>143.03703703703707</v>
      </c>
      <c r="R32" s="77">
        <f t="shared" si="13"/>
        <v>560.1111111111112</v>
      </c>
      <c r="T32" s="52" t="s">
        <v>11</v>
      </c>
      <c r="U32" s="68">
        <f t="shared" si="14"/>
        <v>121</v>
      </c>
      <c r="AF32" s="74"/>
    </row>
    <row r="33" spans="1:33" ht="12.75">
      <c r="A33" s="7" t="s">
        <v>13</v>
      </c>
      <c r="B33" s="8">
        <f t="shared" si="10"/>
        <v>219</v>
      </c>
      <c r="F33" s="8">
        <f t="shared" si="11"/>
        <v>611</v>
      </c>
      <c r="M33" s="7" t="s">
        <v>13</v>
      </c>
      <c r="N33" s="77">
        <f t="shared" si="12"/>
        <v>243.66666666666666</v>
      </c>
      <c r="R33" s="77">
        <f t="shared" si="13"/>
        <v>668.074074074074</v>
      </c>
      <c r="T33" s="52" t="s">
        <v>13</v>
      </c>
      <c r="U33" s="68">
        <f t="shared" si="14"/>
        <v>185</v>
      </c>
      <c r="AC33" s="210" t="s">
        <v>135</v>
      </c>
      <c r="AD33" s="210"/>
      <c r="AG33" s="74"/>
    </row>
    <row r="34" spans="1:14" ht="12.75">
      <c r="A34" s="22"/>
      <c r="M34" s="22"/>
      <c r="N34" s="15"/>
    </row>
    <row r="35" spans="1:29" ht="12.75">
      <c r="A35" s="22"/>
      <c r="M35" s="22"/>
      <c r="N35" s="15"/>
      <c r="AC35" s="91" t="s">
        <v>136</v>
      </c>
    </row>
    <row r="36" spans="1:35" ht="12.75">
      <c r="A36" s="220" t="s">
        <v>103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AC36" s="72" t="s">
        <v>0</v>
      </c>
      <c r="AD36" s="72" t="s">
        <v>110</v>
      </c>
      <c r="AE36" s="72" t="s">
        <v>120</v>
      </c>
      <c r="AF36" s="72" t="s">
        <v>147</v>
      </c>
      <c r="AG36" s="72" t="s">
        <v>119</v>
      </c>
      <c r="AH36" s="72" t="s">
        <v>111</v>
      </c>
      <c r="AI36" s="53" t="s">
        <v>106</v>
      </c>
    </row>
    <row r="37" spans="29:35" ht="12.75">
      <c r="AC37" s="7" t="s">
        <v>2</v>
      </c>
      <c r="AD37" s="16">
        <v>202</v>
      </c>
      <c r="AE37" s="24">
        <f aca="true" t="shared" si="15" ref="AE37:AE42">AD37/AG37/22</f>
        <v>4.590909090909091</v>
      </c>
      <c r="AF37" s="65">
        <f aca="true" t="shared" si="16" ref="AF37:AF42">AE37/6</f>
        <v>0.7651515151515151</v>
      </c>
      <c r="AG37" s="88">
        <v>2</v>
      </c>
      <c r="AH37" s="51">
        <v>4</v>
      </c>
      <c r="AI37" s="29"/>
    </row>
    <row r="38" spans="1:35" ht="12.75">
      <c r="A38" s="1" t="s">
        <v>0</v>
      </c>
      <c r="B38" s="1" t="s">
        <v>88</v>
      </c>
      <c r="C38" s="1" t="s">
        <v>89</v>
      </c>
      <c r="D38" s="1" t="s">
        <v>90</v>
      </c>
      <c r="E38" s="1" t="s">
        <v>91</v>
      </c>
      <c r="F38" s="1" t="s">
        <v>92</v>
      </c>
      <c r="G38" s="1" t="s">
        <v>93</v>
      </c>
      <c r="H38" s="1" t="s">
        <v>94</v>
      </c>
      <c r="I38" s="1" t="s">
        <v>95</v>
      </c>
      <c r="J38" s="1" t="s">
        <v>96</v>
      </c>
      <c r="K38" s="1" t="s">
        <v>97</v>
      </c>
      <c r="L38" s="1" t="s">
        <v>98</v>
      </c>
      <c r="M38" s="1" t="s">
        <v>99</v>
      </c>
      <c r="N38" s="19" t="s">
        <v>88</v>
      </c>
      <c r="O38" s="19" t="s">
        <v>89</v>
      </c>
      <c r="P38" s="19" t="s">
        <v>90</v>
      </c>
      <c r="Q38" s="19" t="s">
        <v>91</v>
      </c>
      <c r="R38" s="19" t="s">
        <v>92</v>
      </c>
      <c r="S38" s="19" t="s">
        <v>93</v>
      </c>
      <c r="T38" s="19" t="s">
        <v>94</v>
      </c>
      <c r="U38" s="19" t="s">
        <v>95</v>
      </c>
      <c r="V38" s="19" t="s">
        <v>96</v>
      </c>
      <c r="W38" s="33" t="s">
        <v>97</v>
      </c>
      <c r="X38" s="33" t="s">
        <v>98</v>
      </c>
      <c r="Y38" s="33" t="s">
        <v>99</v>
      </c>
      <c r="Z38" s="50" t="s">
        <v>122</v>
      </c>
      <c r="AA38" s="35" t="s">
        <v>100</v>
      </c>
      <c r="AC38" s="7" t="s">
        <v>5</v>
      </c>
      <c r="AD38" s="16">
        <v>155</v>
      </c>
      <c r="AE38" s="24">
        <f t="shared" si="15"/>
        <v>6.126482213438735</v>
      </c>
      <c r="AF38" s="65">
        <f t="shared" si="16"/>
        <v>1.0210803689064558</v>
      </c>
      <c r="AG38" s="88">
        <v>1.15</v>
      </c>
      <c r="AH38" s="51">
        <v>3</v>
      </c>
      <c r="AI38" s="29">
        <f>-AI42</f>
        <v>0.15</v>
      </c>
    </row>
    <row r="39" spans="1:35" ht="12.75">
      <c r="A39" s="7" t="s">
        <v>2</v>
      </c>
      <c r="B39" s="5">
        <v>0</v>
      </c>
      <c r="C39" s="8">
        <v>1</v>
      </c>
      <c r="D39" s="5">
        <v>0</v>
      </c>
      <c r="E39" s="5">
        <v>0</v>
      </c>
      <c r="F39" s="5">
        <v>0</v>
      </c>
      <c r="G39" s="5">
        <v>0</v>
      </c>
      <c r="H39" s="8">
        <v>24</v>
      </c>
      <c r="I39" s="8">
        <v>14</v>
      </c>
      <c r="J39" s="8">
        <v>29</v>
      </c>
      <c r="K39" s="8">
        <v>36</v>
      </c>
      <c r="L39" s="8">
        <v>24</v>
      </c>
      <c r="M39" s="8">
        <v>26</v>
      </c>
      <c r="N39" s="8">
        <v>37</v>
      </c>
      <c r="O39" s="8">
        <v>9</v>
      </c>
      <c r="P39" s="8">
        <v>20</v>
      </c>
      <c r="Q39" s="8">
        <v>12</v>
      </c>
      <c r="R39" s="8">
        <v>34</v>
      </c>
      <c r="S39" s="8">
        <v>35</v>
      </c>
      <c r="T39" s="8">
        <v>18</v>
      </c>
      <c r="U39" s="8">
        <v>19</v>
      </c>
      <c r="V39" s="8">
        <v>24</v>
      </c>
      <c r="W39" s="36">
        <f aca="true" t="shared" si="17" ref="W39:Y44">SUM(T39:V39)*1/3</f>
        <v>20.333333333333332</v>
      </c>
      <c r="X39" s="37">
        <f t="shared" si="17"/>
        <v>21.11111111111111</v>
      </c>
      <c r="Y39" s="38">
        <f t="shared" si="17"/>
        <v>21.814814814814813</v>
      </c>
      <c r="Z39">
        <f aca="true" t="shared" si="18" ref="Z39:Z44">MAX(B39:Y39)</f>
        <v>37</v>
      </c>
      <c r="AA39">
        <v>8</v>
      </c>
      <c r="AC39" s="7" t="s">
        <v>7</v>
      </c>
      <c r="AD39" s="16">
        <v>262</v>
      </c>
      <c r="AE39" s="24">
        <f t="shared" si="15"/>
        <v>5.954545454545454</v>
      </c>
      <c r="AF39" s="65">
        <f t="shared" si="16"/>
        <v>0.9924242424242423</v>
      </c>
      <c r="AG39" s="88">
        <v>2</v>
      </c>
      <c r="AH39" s="51">
        <v>3</v>
      </c>
      <c r="AI39" s="29"/>
    </row>
    <row r="40" spans="1:35" ht="12.75">
      <c r="A40" s="7" t="s">
        <v>5</v>
      </c>
      <c r="B40" s="8">
        <v>34</v>
      </c>
      <c r="C40" s="8">
        <v>36</v>
      </c>
      <c r="D40" s="8">
        <v>39</v>
      </c>
      <c r="E40" s="8">
        <v>30</v>
      </c>
      <c r="F40" s="8">
        <v>48</v>
      </c>
      <c r="G40" s="8">
        <v>49</v>
      </c>
      <c r="H40" s="8">
        <v>10</v>
      </c>
      <c r="I40" s="8">
        <v>9</v>
      </c>
      <c r="J40" s="8">
        <v>17</v>
      </c>
      <c r="K40" s="8">
        <v>23</v>
      </c>
      <c r="L40" s="8">
        <v>15</v>
      </c>
      <c r="M40" s="8">
        <v>26</v>
      </c>
      <c r="N40" s="8">
        <v>37</v>
      </c>
      <c r="O40" s="8">
        <v>44</v>
      </c>
      <c r="P40" s="8">
        <v>72</v>
      </c>
      <c r="Q40" s="8">
        <v>55</v>
      </c>
      <c r="R40" s="8">
        <v>46</v>
      </c>
      <c r="S40" s="8">
        <v>44</v>
      </c>
      <c r="T40" s="8">
        <v>41</v>
      </c>
      <c r="U40" s="8">
        <v>33</v>
      </c>
      <c r="V40" s="8">
        <v>23</v>
      </c>
      <c r="W40" s="39">
        <f t="shared" si="17"/>
        <v>32.333333333333336</v>
      </c>
      <c r="X40" s="40">
        <f t="shared" si="17"/>
        <v>29.444444444444446</v>
      </c>
      <c r="Y40" s="41">
        <f t="shared" si="17"/>
        <v>28.259259259259263</v>
      </c>
      <c r="Z40">
        <f t="shared" si="18"/>
        <v>72</v>
      </c>
      <c r="AA40">
        <v>17</v>
      </c>
      <c r="AC40" s="7" t="s">
        <v>9</v>
      </c>
      <c r="AD40" s="16">
        <v>227</v>
      </c>
      <c r="AE40" s="24">
        <f t="shared" si="15"/>
        <v>5.159090909090909</v>
      </c>
      <c r="AF40" s="65">
        <f t="shared" si="16"/>
        <v>0.8598484848484849</v>
      </c>
      <c r="AG40" s="88">
        <v>2</v>
      </c>
      <c r="AH40" s="51">
        <v>4</v>
      </c>
      <c r="AI40" s="29"/>
    </row>
    <row r="41" spans="1:35" ht="12.75">
      <c r="A41" s="7" t="s">
        <v>7</v>
      </c>
      <c r="B41" s="8">
        <v>31</v>
      </c>
      <c r="C41" s="8">
        <v>43</v>
      </c>
      <c r="D41" s="8">
        <v>68</v>
      </c>
      <c r="E41" s="8">
        <v>70</v>
      </c>
      <c r="F41" s="8">
        <v>36</v>
      </c>
      <c r="G41" s="8">
        <v>69</v>
      </c>
      <c r="H41" s="8">
        <v>14</v>
      </c>
      <c r="I41" s="8">
        <v>6</v>
      </c>
      <c r="J41" s="8">
        <v>35</v>
      </c>
      <c r="K41" s="8">
        <v>27</v>
      </c>
      <c r="L41" s="8">
        <v>23</v>
      </c>
      <c r="M41" s="8">
        <v>15</v>
      </c>
      <c r="N41" s="8">
        <v>37</v>
      </c>
      <c r="O41" s="8">
        <v>50</v>
      </c>
      <c r="P41" s="8">
        <v>50</v>
      </c>
      <c r="Q41" s="8">
        <v>57</v>
      </c>
      <c r="R41" s="8">
        <v>50</v>
      </c>
      <c r="S41" s="8">
        <v>45</v>
      </c>
      <c r="T41" s="8">
        <v>38</v>
      </c>
      <c r="U41" s="8">
        <v>39</v>
      </c>
      <c r="V41" s="8">
        <v>33</v>
      </c>
      <c r="W41" s="39">
        <f t="shared" si="17"/>
        <v>36.666666666666664</v>
      </c>
      <c r="X41" s="40">
        <f t="shared" si="17"/>
        <v>36.22222222222222</v>
      </c>
      <c r="Y41" s="41">
        <f t="shared" si="17"/>
        <v>35.2962962962963</v>
      </c>
      <c r="Z41">
        <f t="shared" si="18"/>
        <v>70</v>
      </c>
      <c r="AA41">
        <v>30</v>
      </c>
      <c r="AC41" s="7" t="s">
        <v>11</v>
      </c>
      <c r="AD41" s="16">
        <v>140</v>
      </c>
      <c r="AE41" s="24">
        <f t="shared" si="15"/>
        <v>6.363636363636363</v>
      </c>
      <c r="AF41" s="65">
        <f t="shared" si="16"/>
        <v>1.0606060606060606</v>
      </c>
      <c r="AG41" s="88">
        <v>1</v>
      </c>
      <c r="AH41" s="51">
        <v>2</v>
      </c>
      <c r="AI41" s="29"/>
    </row>
    <row r="42" spans="1:35" ht="12.75">
      <c r="A42" s="7" t="s">
        <v>9</v>
      </c>
      <c r="B42" s="8">
        <v>9</v>
      </c>
      <c r="C42" s="8">
        <v>11</v>
      </c>
      <c r="D42" s="5">
        <v>0</v>
      </c>
      <c r="E42" s="5">
        <v>0</v>
      </c>
      <c r="F42" s="8">
        <v>10</v>
      </c>
      <c r="G42" s="8">
        <v>12</v>
      </c>
      <c r="H42" s="8">
        <v>18</v>
      </c>
      <c r="I42" s="8">
        <v>10</v>
      </c>
      <c r="J42" s="8">
        <v>44</v>
      </c>
      <c r="K42" s="8">
        <v>33</v>
      </c>
      <c r="L42" s="8">
        <v>26</v>
      </c>
      <c r="M42" s="8">
        <v>25</v>
      </c>
      <c r="N42" s="8">
        <v>42</v>
      </c>
      <c r="O42" s="8">
        <v>42</v>
      </c>
      <c r="P42" s="8">
        <v>42</v>
      </c>
      <c r="Q42" s="8">
        <v>42</v>
      </c>
      <c r="R42" s="8">
        <v>42</v>
      </c>
      <c r="S42" s="8">
        <v>42</v>
      </c>
      <c r="T42" s="8">
        <v>42</v>
      </c>
      <c r="U42" s="8">
        <v>42</v>
      </c>
      <c r="V42" s="8">
        <v>42</v>
      </c>
      <c r="W42" s="39">
        <f t="shared" si="17"/>
        <v>42</v>
      </c>
      <c r="X42" s="40">
        <f t="shared" si="17"/>
        <v>42</v>
      </c>
      <c r="Y42" s="41">
        <f t="shared" si="17"/>
        <v>42</v>
      </c>
      <c r="Z42">
        <f t="shared" si="18"/>
        <v>44</v>
      </c>
      <c r="AA42">
        <v>21</v>
      </c>
      <c r="AC42" s="7" t="s">
        <v>13</v>
      </c>
      <c r="AD42" s="16">
        <v>119</v>
      </c>
      <c r="AE42" s="24">
        <f t="shared" si="15"/>
        <v>6.363636363636363</v>
      </c>
      <c r="AF42" s="65">
        <f t="shared" si="16"/>
        <v>1.0606060606060606</v>
      </c>
      <c r="AG42" s="88">
        <v>0.85</v>
      </c>
      <c r="AH42" s="51">
        <v>2</v>
      </c>
      <c r="AI42" s="29">
        <v>-0.15</v>
      </c>
    </row>
    <row r="43" spans="1:27" ht="12.75">
      <c r="A43" s="7" t="s">
        <v>11</v>
      </c>
      <c r="B43" s="8">
        <v>19</v>
      </c>
      <c r="C43" s="8">
        <v>10</v>
      </c>
      <c r="D43" s="8">
        <v>13</v>
      </c>
      <c r="E43" s="8">
        <v>4</v>
      </c>
      <c r="F43" s="8">
        <v>8</v>
      </c>
      <c r="G43" s="8">
        <v>2</v>
      </c>
      <c r="H43" s="8">
        <v>6</v>
      </c>
      <c r="I43" s="8">
        <v>0</v>
      </c>
      <c r="J43" s="8">
        <v>16</v>
      </c>
      <c r="K43" s="8">
        <v>27</v>
      </c>
      <c r="L43" s="8">
        <v>13</v>
      </c>
      <c r="M43" s="8">
        <v>6</v>
      </c>
      <c r="N43" s="8">
        <v>15</v>
      </c>
      <c r="O43" s="8">
        <v>3</v>
      </c>
      <c r="P43" s="8">
        <v>7</v>
      </c>
      <c r="Q43" s="8">
        <v>10</v>
      </c>
      <c r="R43" s="8">
        <v>13</v>
      </c>
      <c r="S43" s="8">
        <v>10</v>
      </c>
      <c r="T43" s="8">
        <v>10</v>
      </c>
      <c r="U43" s="8">
        <v>7</v>
      </c>
      <c r="V43" s="8">
        <v>16</v>
      </c>
      <c r="W43" s="39">
        <f t="shared" si="17"/>
        <v>11</v>
      </c>
      <c r="X43" s="40">
        <f t="shared" si="17"/>
        <v>11.333333333333334</v>
      </c>
      <c r="Y43" s="41">
        <f t="shared" si="17"/>
        <v>12.777777777777779</v>
      </c>
      <c r="Z43">
        <f t="shared" si="18"/>
        <v>27</v>
      </c>
      <c r="AA43">
        <v>0</v>
      </c>
    </row>
    <row r="44" spans="1:29" ht="12.75">
      <c r="A44" s="7" t="s">
        <v>13</v>
      </c>
      <c r="B44" s="8">
        <v>7</v>
      </c>
      <c r="C44" s="8">
        <v>10</v>
      </c>
      <c r="D44" s="5">
        <v>12</v>
      </c>
      <c r="E44" s="5">
        <v>4</v>
      </c>
      <c r="F44" s="5">
        <v>8</v>
      </c>
      <c r="G44" s="8">
        <v>6</v>
      </c>
      <c r="H44" s="8">
        <v>30</v>
      </c>
      <c r="I44" s="8">
        <v>11</v>
      </c>
      <c r="J44" s="8">
        <v>25</v>
      </c>
      <c r="K44" s="8">
        <v>19</v>
      </c>
      <c r="L44" s="8">
        <v>16</v>
      </c>
      <c r="M44" s="8">
        <v>11</v>
      </c>
      <c r="N44" s="8">
        <v>29</v>
      </c>
      <c r="O44" s="8">
        <v>12</v>
      </c>
      <c r="P44" s="8">
        <v>15</v>
      </c>
      <c r="Q44" s="8">
        <v>10</v>
      </c>
      <c r="R44" s="8">
        <v>14</v>
      </c>
      <c r="S44" s="8">
        <v>3</v>
      </c>
      <c r="T44" s="8">
        <v>23</v>
      </c>
      <c r="U44" s="8">
        <v>5</v>
      </c>
      <c r="V44" s="8">
        <v>11</v>
      </c>
      <c r="W44" s="42">
        <f t="shared" si="17"/>
        <v>13</v>
      </c>
      <c r="X44" s="43">
        <f t="shared" si="17"/>
        <v>9.666666666666666</v>
      </c>
      <c r="Y44" s="44">
        <f t="shared" si="17"/>
        <v>11.222222222222221</v>
      </c>
      <c r="Z44">
        <f t="shared" si="18"/>
        <v>30</v>
      </c>
      <c r="AA44">
        <v>9</v>
      </c>
      <c r="AC44" s="90" t="s">
        <v>137</v>
      </c>
    </row>
    <row r="45" spans="27:35" ht="12.75">
      <c r="AA45">
        <f>SUM(AA39:AA44)</f>
        <v>85</v>
      </c>
      <c r="AC45" s="72" t="s">
        <v>0</v>
      </c>
      <c r="AD45" s="72" t="s">
        <v>110</v>
      </c>
      <c r="AE45" s="72" t="s">
        <v>120</v>
      </c>
      <c r="AF45" s="72" t="s">
        <v>147</v>
      </c>
      <c r="AG45" s="72" t="s">
        <v>119</v>
      </c>
      <c r="AH45" s="72" t="s">
        <v>111</v>
      </c>
      <c r="AI45" s="53" t="s">
        <v>106</v>
      </c>
    </row>
    <row r="46" spans="1:35" ht="12.75">
      <c r="A46" s="7" t="s">
        <v>2</v>
      </c>
      <c r="B46" s="8">
        <f aca="true" t="shared" si="19" ref="B46:B51">SUM(B39:M39)</f>
        <v>154</v>
      </c>
      <c r="N46" s="7" t="s">
        <v>2</v>
      </c>
      <c r="O46" s="77">
        <f aca="true" t="shared" si="20" ref="O46:O51">SUM(N39:Y39)</f>
        <v>271.2592592592593</v>
      </c>
      <c r="Q46" s="52" t="s">
        <v>2</v>
      </c>
      <c r="R46" s="68">
        <f aca="true" t="shared" si="21" ref="R46:R51">SUM(N39:V39)</f>
        <v>208</v>
      </c>
      <c r="AC46" s="7" t="s">
        <v>2</v>
      </c>
      <c r="AD46" s="16">
        <v>202</v>
      </c>
      <c r="AE46" s="24">
        <f aca="true" t="shared" si="22" ref="AE46:AE51">AD46/AG46/22</f>
        <v>4.832535885167465</v>
      </c>
      <c r="AF46" s="65">
        <f aca="true" t="shared" si="23" ref="AF46:AF51">AE46/6</f>
        <v>0.8054226475279108</v>
      </c>
      <c r="AG46" s="30">
        <v>1.9</v>
      </c>
      <c r="AH46" s="51">
        <v>4</v>
      </c>
      <c r="AI46" s="160">
        <v>-0.1</v>
      </c>
    </row>
    <row r="47" spans="1:35" ht="12.75">
      <c r="A47" s="7" t="s">
        <v>5</v>
      </c>
      <c r="B47" s="8">
        <f t="shared" si="19"/>
        <v>336</v>
      </c>
      <c r="N47" s="7" t="s">
        <v>5</v>
      </c>
      <c r="O47" s="77">
        <f t="shared" si="20"/>
        <v>485.037037037037</v>
      </c>
      <c r="Q47" s="52" t="s">
        <v>5</v>
      </c>
      <c r="R47" s="68">
        <f t="shared" si="21"/>
        <v>395</v>
      </c>
      <c r="AC47" s="7" t="s">
        <v>5</v>
      </c>
      <c r="AD47" s="16">
        <v>155</v>
      </c>
      <c r="AE47" s="24">
        <f t="shared" si="22"/>
        <v>3.9141414141414144</v>
      </c>
      <c r="AF47" s="65">
        <f t="shared" si="23"/>
        <v>0.6523569023569024</v>
      </c>
      <c r="AG47" s="30">
        <v>1.8</v>
      </c>
      <c r="AH47" s="51">
        <v>3</v>
      </c>
      <c r="AI47" s="160">
        <v>-0.2</v>
      </c>
    </row>
    <row r="48" spans="1:35" ht="12.75">
      <c r="A48" s="7" t="s">
        <v>7</v>
      </c>
      <c r="B48" s="8">
        <f t="shared" si="19"/>
        <v>437</v>
      </c>
      <c r="N48" s="7" t="s">
        <v>7</v>
      </c>
      <c r="O48" s="77">
        <f t="shared" si="20"/>
        <v>507.1851851851852</v>
      </c>
      <c r="Q48" s="52" t="s">
        <v>7</v>
      </c>
      <c r="R48" s="68">
        <f t="shared" si="21"/>
        <v>399</v>
      </c>
      <c r="AC48" s="7" t="s">
        <v>7</v>
      </c>
      <c r="AD48" s="16">
        <v>262</v>
      </c>
      <c r="AE48" s="24">
        <f t="shared" si="22"/>
        <v>3.9696969696969693</v>
      </c>
      <c r="AF48" s="65">
        <f t="shared" si="23"/>
        <v>0.6616161616161615</v>
      </c>
      <c r="AG48" s="30">
        <v>3</v>
      </c>
      <c r="AH48" s="51">
        <v>3</v>
      </c>
      <c r="AI48" s="161"/>
    </row>
    <row r="49" spans="1:35" ht="12.75">
      <c r="A49" s="7" t="s">
        <v>9</v>
      </c>
      <c r="B49" s="8">
        <f t="shared" si="19"/>
        <v>198</v>
      </c>
      <c r="N49" s="7" t="s">
        <v>9</v>
      </c>
      <c r="O49" s="77">
        <f t="shared" si="20"/>
        <v>504</v>
      </c>
      <c r="Q49" s="52" t="s">
        <v>9</v>
      </c>
      <c r="R49" s="68">
        <f t="shared" si="21"/>
        <v>378</v>
      </c>
      <c r="AC49" s="7" t="s">
        <v>9</v>
      </c>
      <c r="AD49" s="16">
        <v>227</v>
      </c>
      <c r="AE49" s="24">
        <f t="shared" si="22"/>
        <v>5.159090909090909</v>
      </c>
      <c r="AF49" s="65">
        <f t="shared" si="23"/>
        <v>0.8598484848484849</v>
      </c>
      <c r="AG49" s="30">
        <v>2</v>
      </c>
      <c r="AH49" s="51">
        <v>4</v>
      </c>
      <c r="AI49" s="162"/>
    </row>
    <row r="50" spans="1:35" ht="12.75">
      <c r="A50" s="7" t="s">
        <v>11</v>
      </c>
      <c r="B50" s="8">
        <f t="shared" si="19"/>
        <v>124</v>
      </c>
      <c r="N50" s="7" t="s">
        <v>11</v>
      </c>
      <c r="O50" s="77">
        <f t="shared" si="20"/>
        <v>126.11111111111111</v>
      </c>
      <c r="Q50" s="52" t="s">
        <v>11</v>
      </c>
      <c r="R50" s="68">
        <f t="shared" si="21"/>
        <v>91</v>
      </c>
      <c r="AC50" s="7" t="s">
        <v>11</v>
      </c>
      <c r="AD50" s="16">
        <v>140</v>
      </c>
      <c r="AE50" s="24">
        <f t="shared" si="22"/>
        <v>5.785123966942148</v>
      </c>
      <c r="AF50" s="65">
        <f t="shared" si="23"/>
        <v>0.9641873278236913</v>
      </c>
      <c r="AG50" s="30">
        <v>1.1</v>
      </c>
      <c r="AH50" s="51">
        <v>2</v>
      </c>
      <c r="AI50" s="165">
        <f>-AI46</f>
        <v>0.1</v>
      </c>
    </row>
    <row r="51" spans="1:35" ht="12.75">
      <c r="A51" s="7" t="s">
        <v>13</v>
      </c>
      <c r="B51" s="8">
        <f t="shared" si="19"/>
        <v>159</v>
      </c>
      <c r="N51" s="7" t="s">
        <v>13</v>
      </c>
      <c r="O51" s="77">
        <f t="shared" si="20"/>
        <v>155.88888888888889</v>
      </c>
      <c r="Q51" s="52" t="s">
        <v>13</v>
      </c>
      <c r="R51" s="68">
        <f t="shared" si="21"/>
        <v>122</v>
      </c>
      <c r="AC51" s="7" t="s">
        <v>13</v>
      </c>
      <c r="AD51" s="16">
        <v>119</v>
      </c>
      <c r="AE51" s="24">
        <f t="shared" si="22"/>
        <v>4.507575757575758</v>
      </c>
      <c r="AF51" s="65">
        <f t="shared" si="23"/>
        <v>0.7512626262626263</v>
      </c>
      <c r="AG51" s="30">
        <v>1.2</v>
      </c>
      <c r="AH51" s="51">
        <v>2</v>
      </c>
      <c r="AI51" s="162">
        <v>0.2</v>
      </c>
    </row>
    <row r="52" spans="31:33" ht="12.75">
      <c r="AE52" s="159"/>
      <c r="AF52" s="159"/>
      <c r="AG52" s="54"/>
    </row>
    <row r="53" spans="1:29" ht="12.75">
      <c r="A53" s="221" t="s">
        <v>104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AC53" s="90" t="s">
        <v>155</v>
      </c>
    </row>
    <row r="54" spans="1:35" ht="12.75">
      <c r="A54" s="1" t="s">
        <v>0</v>
      </c>
      <c r="B54" s="1" t="s">
        <v>88</v>
      </c>
      <c r="C54" s="1" t="s">
        <v>89</v>
      </c>
      <c r="D54" s="1" t="s">
        <v>90</v>
      </c>
      <c r="E54" s="1" t="s">
        <v>91</v>
      </c>
      <c r="F54" s="1" t="s">
        <v>92</v>
      </c>
      <c r="G54" s="1" t="s">
        <v>93</v>
      </c>
      <c r="H54" s="1" t="s">
        <v>94</v>
      </c>
      <c r="I54" s="1" t="s">
        <v>95</v>
      </c>
      <c r="J54" s="1" t="s">
        <v>96</v>
      </c>
      <c r="K54" s="1" t="s">
        <v>97</v>
      </c>
      <c r="L54" s="1" t="s">
        <v>98</v>
      </c>
      <c r="M54" s="1" t="s">
        <v>99</v>
      </c>
      <c r="N54" s="19" t="s">
        <v>88</v>
      </c>
      <c r="O54" s="19" t="s">
        <v>89</v>
      </c>
      <c r="P54" s="19" t="s">
        <v>90</v>
      </c>
      <c r="Q54" s="19" t="s">
        <v>91</v>
      </c>
      <c r="R54" s="19" t="s">
        <v>92</v>
      </c>
      <c r="S54" s="19" t="s">
        <v>93</v>
      </c>
      <c r="T54" s="19" t="s">
        <v>94</v>
      </c>
      <c r="U54" s="19" t="s">
        <v>95</v>
      </c>
      <c r="V54" s="19" t="s">
        <v>96</v>
      </c>
      <c r="W54" s="33" t="s">
        <v>97</v>
      </c>
      <c r="X54" s="33" t="s">
        <v>98</v>
      </c>
      <c r="Y54" s="33" t="s">
        <v>99</v>
      </c>
      <c r="Z54" s="50" t="s">
        <v>122</v>
      </c>
      <c r="AA54" s="35" t="s">
        <v>100</v>
      </c>
      <c r="AC54" s="72" t="s">
        <v>0</v>
      </c>
      <c r="AD54" s="72" t="s">
        <v>110</v>
      </c>
      <c r="AE54" s="72" t="s">
        <v>120</v>
      </c>
      <c r="AF54" s="72" t="s">
        <v>147</v>
      </c>
      <c r="AG54" s="72" t="s">
        <v>119</v>
      </c>
      <c r="AH54" s="72" t="s">
        <v>111</v>
      </c>
      <c r="AI54" s="53" t="s">
        <v>106</v>
      </c>
    </row>
    <row r="55" spans="1:35" ht="12.75">
      <c r="A55" s="7" t="s">
        <v>2</v>
      </c>
      <c r="B55">
        <v>14</v>
      </c>
      <c r="C55">
        <v>5</v>
      </c>
      <c r="D55">
        <v>6</v>
      </c>
      <c r="E55">
        <v>9</v>
      </c>
      <c r="F55">
        <v>12</v>
      </c>
      <c r="G55">
        <v>16</v>
      </c>
      <c r="H55">
        <v>14</v>
      </c>
      <c r="I55">
        <v>4</v>
      </c>
      <c r="J55">
        <v>32</v>
      </c>
      <c r="K55">
        <v>17</v>
      </c>
      <c r="L55">
        <v>20</v>
      </c>
      <c r="M55">
        <v>15</v>
      </c>
      <c r="N55">
        <v>18</v>
      </c>
      <c r="O55">
        <v>17</v>
      </c>
      <c r="P55">
        <v>20</v>
      </c>
      <c r="Q55">
        <v>11</v>
      </c>
      <c r="R55">
        <v>18</v>
      </c>
      <c r="S55">
        <v>18</v>
      </c>
      <c r="T55">
        <v>9</v>
      </c>
      <c r="U55">
        <v>5</v>
      </c>
      <c r="V55">
        <v>21</v>
      </c>
      <c r="W55" s="36">
        <f aca="true" t="shared" si="24" ref="W55:Y60">SUM(T55:V55)*1/3</f>
        <v>11.666666666666666</v>
      </c>
      <c r="X55" s="37">
        <f t="shared" si="24"/>
        <v>12.555555555555555</v>
      </c>
      <c r="Y55" s="38">
        <f t="shared" si="24"/>
        <v>15.074074074074074</v>
      </c>
      <c r="Z55">
        <f aca="true" t="shared" si="25" ref="Z55:Z60">MAX(B55:Y55)</f>
        <v>32</v>
      </c>
      <c r="AA55">
        <v>17</v>
      </c>
      <c r="AC55" s="7" t="s">
        <v>2</v>
      </c>
      <c r="AD55" s="16">
        <v>202</v>
      </c>
      <c r="AE55" s="24">
        <f aca="true" t="shared" si="26" ref="AE55:AE60">AD55/AG55/22</f>
        <v>5.1010101010101</v>
      </c>
      <c r="AF55" s="65">
        <f aca="true" t="shared" si="27" ref="AF55:AF60">AE55/6</f>
        <v>0.85016835016835</v>
      </c>
      <c r="AG55" s="30">
        <v>1.8</v>
      </c>
      <c r="AH55" s="51">
        <v>4</v>
      </c>
      <c r="AI55" s="208">
        <v>-0.2</v>
      </c>
    </row>
    <row r="56" spans="1:37" ht="12.75">
      <c r="A56" s="7" t="s">
        <v>5</v>
      </c>
      <c r="B56">
        <v>19</v>
      </c>
      <c r="C56">
        <v>3</v>
      </c>
      <c r="D56">
        <v>7</v>
      </c>
      <c r="E56">
        <v>8</v>
      </c>
      <c r="F56">
        <v>8</v>
      </c>
      <c r="G56">
        <v>10</v>
      </c>
      <c r="H56">
        <v>7</v>
      </c>
      <c r="I56">
        <v>12</v>
      </c>
      <c r="J56">
        <v>16</v>
      </c>
      <c r="K56">
        <v>16</v>
      </c>
      <c r="L56">
        <v>16</v>
      </c>
      <c r="M56">
        <v>15</v>
      </c>
      <c r="N56">
        <v>14</v>
      </c>
      <c r="O56">
        <v>15</v>
      </c>
      <c r="P56">
        <v>20</v>
      </c>
      <c r="Q56">
        <v>14</v>
      </c>
      <c r="R56">
        <v>21</v>
      </c>
      <c r="S56">
        <v>17</v>
      </c>
      <c r="T56">
        <v>20</v>
      </c>
      <c r="U56">
        <v>12</v>
      </c>
      <c r="V56">
        <v>22</v>
      </c>
      <c r="W56" s="39">
        <f t="shared" si="24"/>
        <v>18</v>
      </c>
      <c r="X56" s="40">
        <f t="shared" si="24"/>
        <v>17.333333333333332</v>
      </c>
      <c r="Y56" s="41">
        <f t="shared" si="24"/>
        <v>19.11111111111111</v>
      </c>
      <c r="Z56">
        <f t="shared" si="25"/>
        <v>22</v>
      </c>
      <c r="AA56">
        <v>21</v>
      </c>
      <c r="AC56" s="7" t="s">
        <v>5</v>
      </c>
      <c r="AD56" s="16">
        <v>155</v>
      </c>
      <c r="AE56" s="24">
        <f t="shared" si="26"/>
        <v>3.522727272727273</v>
      </c>
      <c r="AF56" s="65">
        <f t="shared" si="27"/>
        <v>0.5871212121212122</v>
      </c>
      <c r="AG56" s="30">
        <v>2</v>
      </c>
      <c r="AH56" s="51">
        <v>3</v>
      </c>
      <c r="AI56" s="160"/>
      <c r="AJ56" s="205">
        <f>(AF55+AF59)/2</f>
        <v>0.867003367003367</v>
      </c>
      <c r="AK56" s="206" t="s">
        <v>152</v>
      </c>
    </row>
    <row r="57" spans="1:37" ht="12.75">
      <c r="A57" s="7" t="s">
        <v>7</v>
      </c>
      <c r="B57">
        <v>28</v>
      </c>
      <c r="C57">
        <v>6</v>
      </c>
      <c r="D57">
        <v>11</v>
      </c>
      <c r="E57">
        <v>9</v>
      </c>
      <c r="F57">
        <v>17</v>
      </c>
      <c r="G57">
        <v>15</v>
      </c>
      <c r="H57">
        <v>15</v>
      </c>
      <c r="I57">
        <v>7</v>
      </c>
      <c r="J57">
        <v>17</v>
      </c>
      <c r="K57">
        <v>13</v>
      </c>
      <c r="L57">
        <v>15</v>
      </c>
      <c r="M57">
        <v>20</v>
      </c>
      <c r="N57">
        <v>14</v>
      </c>
      <c r="O57">
        <v>8</v>
      </c>
      <c r="P57">
        <v>16</v>
      </c>
      <c r="Q57">
        <v>17</v>
      </c>
      <c r="R57">
        <v>17</v>
      </c>
      <c r="S57">
        <v>10</v>
      </c>
      <c r="T57">
        <v>9</v>
      </c>
      <c r="U57">
        <v>7</v>
      </c>
      <c r="V57">
        <v>26</v>
      </c>
      <c r="W57" s="39">
        <f t="shared" si="24"/>
        <v>14</v>
      </c>
      <c r="X57" s="40">
        <f t="shared" si="24"/>
        <v>15.666666666666666</v>
      </c>
      <c r="Y57" s="41">
        <f t="shared" si="24"/>
        <v>18.555555555555554</v>
      </c>
      <c r="Z57">
        <f t="shared" si="25"/>
        <v>28</v>
      </c>
      <c r="AA57">
        <v>13</v>
      </c>
      <c r="AC57" s="7" t="s">
        <v>7</v>
      </c>
      <c r="AD57" s="16">
        <v>262</v>
      </c>
      <c r="AE57" s="24">
        <f t="shared" si="26"/>
        <v>5.954545454545454</v>
      </c>
      <c r="AF57" s="65">
        <f t="shared" si="27"/>
        <v>0.9924242424242423</v>
      </c>
      <c r="AG57" s="30">
        <v>2</v>
      </c>
      <c r="AH57" s="51">
        <v>3</v>
      </c>
      <c r="AI57" s="161"/>
      <c r="AJ57" s="205">
        <f>(AF56+AF60)/2</f>
        <v>0.7443181818181819</v>
      </c>
      <c r="AK57" s="206" t="s">
        <v>153</v>
      </c>
    </row>
    <row r="58" spans="1:37" ht="12.75">
      <c r="A58" s="7" t="s">
        <v>9</v>
      </c>
      <c r="B58">
        <v>29</v>
      </c>
      <c r="C58">
        <v>14</v>
      </c>
      <c r="D58">
        <v>8</v>
      </c>
      <c r="E58">
        <v>5</v>
      </c>
      <c r="F58">
        <v>16</v>
      </c>
      <c r="G58">
        <v>20</v>
      </c>
      <c r="H58">
        <v>18</v>
      </c>
      <c r="I58">
        <v>5</v>
      </c>
      <c r="J58">
        <v>18</v>
      </c>
      <c r="K58">
        <v>15</v>
      </c>
      <c r="L58">
        <v>13</v>
      </c>
      <c r="M58">
        <v>16</v>
      </c>
      <c r="N58">
        <v>15</v>
      </c>
      <c r="O58">
        <v>18</v>
      </c>
      <c r="P58">
        <v>18</v>
      </c>
      <c r="Q58">
        <v>19</v>
      </c>
      <c r="R58">
        <v>22</v>
      </c>
      <c r="S58">
        <v>16</v>
      </c>
      <c r="T58">
        <v>19</v>
      </c>
      <c r="U58">
        <v>9</v>
      </c>
      <c r="V58">
        <v>17</v>
      </c>
      <c r="W58" s="39">
        <f t="shared" si="24"/>
        <v>15</v>
      </c>
      <c r="X58" s="40">
        <f t="shared" si="24"/>
        <v>13.666666666666666</v>
      </c>
      <c r="Y58" s="41">
        <f t="shared" si="24"/>
        <v>15.222222222222221</v>
      </c>
      <c r="Z58">
        <f t="shared" si="25"/>
        <v>29</v>
      </c>
      <c r="AA58">
        <v>13</v>
      </c>
      <c r="AC58" s="7" t="s">
        <v>9</v>
      </c>
      <c r="AD58" s="16">
        <v>227</v>
      </c>
      <c r="AE58" s="24">
        <f t="shared" si="26"/>
        <v>5.159090909090909</v>
      </c>
      <c r="AF58" s="65">
        <f t="shared" si="27"/>
        <v>0.8598484848484849</v>
      </c>
      <c r="AG58" s="30">
        <v>2</v>
      </c>
      <c r="AH58" s="51">
        <v>4</v>
      </c>
      <c r="AI58" s="162"/>
      <c r="AJ58" s="205">
        <f>(AF57+AF58)/2</f>
        <v>0.9261363636363635</v>
      </c>
      <c r="AK58" s="206" t="s">
        <v>154</v>
      </c>
    </row>
    <row r="59" spans="1:35" ht="12.75">
      <c r="A59" s="7" t="s">
        <v>11</v>
      </c>
      <c r="B59">
        <v>14</v>
      </c>
      <c r="C59">
        <v>4</v>
      </c>
      <c r="D59">
        <v>4</v>
      </c>
      <c r="E59">
        <v>6</v>
      </c>
      <c r="F59">
        <v>5</v>
      </c>
      <c r="G59">
        <v>6</v>
      </c>
      <c r="H59">
        <v>4</v>
      </c>
      <c r="I59">
        <v>20</v>
      </c>
      <c r="J59">
        <v>4</v>
      </c>
      <c r="K59">
        <v>9</v>
      </c>
      <c r="L59">
        <v>5</v>
      </c>
      <c r="M59">
        <v>5</v>
      </c>
      <c r="N59">
        <v>7</v>
      </c>
      <c r="O59">
        <v>7</v>
      </c>
      <c r="P59">
        <v>15</v>
      </c>
      <c r="Q59">
        <v>12</v>
      </c>
      <c r="R59">
        <v>3</v>
      </c>
      <c r="S59">
        <v>14</v>
      </c>
      <c r="T59">
        <v>3</v>
      </c>
      <c r="U59">
        <v>3</v>
      </c>
      <c r="V59">
        <v>8</v>
      </c>
      <c r="W59" s="39">
        <f t="shared" si="24"/>
        <v>4.666666666666667</v>
      </c>
      <c r="X59" s="40">
        <f t="shared" si="24"/>
        <v>5.222222222222222</v>
      </c>
      <c r="Y59" s="41">
        <f t="shared" si="24"/>
        <v>5.962962962962963</v>
      </c>
      <c r="Z59">
        <f t="shared" si="25"/>
        <v>20</v>
      </c>
      <c r="AA59">
        <v>7</v>
      </c>
      <c r="AC59" s="7" t="s">
        <v>11</v>
      </c>
      <c r="AD59" s="16">
        <v>140</v>
      </c>
      <c r="AE59" s="24">
        <f t="shared" si="26"/>
        <v>5.303030303030304</v>
      </c>
      <c r="AF59" s="65">
        <f t="shared" si="27"/>
        <v>0.883838383838384</v>
      </c>
      <c r="AG59" s="30">
        <v>1.2</v>
      </c>
      <c r="AH59" s="51">
        <v>2</v>
      </c>
      <c r="AI59" s="209">
        <f>-AI55</f>
        <v>0.2</v>
      </c>
    </row>
    <row r="60" spans="1:35" ht="12.75">
      <c r="A60" s="7" t="s">
        <v>13</v>
      </c>
      <c r="B60">
        <v>21</v>
      </c>
      <c r="C60">
        <v>2</v>
      </c>
      <c r="D60">
        <v>16</v>
      </c>
      <c r="E60">
        <v>7</v>
      </c>
      <c r="F60">
        <v>7</v>
      </c>
      <c r="G60">
        <v>19</v>
      </c>
      <c r="H60">
        <v>5</v>
      </c>
      <c r="I60">
        <v>9</v>
      </c>
      <c r="J60">
        <v>3</v>
      </c>
      <c r="K60">
        <v>6</v>
      </c>
      <c r="L60">
        <v>5</v>
      </c>
      <c r="M60">
        <v>9</v>
      </c>
      <c r="N60">
        <v>7</v>
      </c>
      <c r="O60">
        <v>11</v>
      </c>
      <c r="P60">
        <v>10</v>
      </c>
      <c r="Q60">
        <v>16</v>
      </c>
      <c r="R60">
        <v>15</v>
      </c>
      <c r="S60">
        <v>14</v>
      </c>
      <c r="T60">
        <v>10</v>
      </c>
      <c r="U60">
        <v>8</v>
      </c>
      <c r="V60">
        <v>10</v>
      </c>
      <c r="W60" s="42">
        <f t="shared" si="24"/>
        <v>9.333333333333334</v>
      </c>
      <c r="X60" s="43">
        <f t="shared" si="24"/>
        <v>9.111111111111112</v>
      </c>
      <c r="Y60" s="44">
        <f t="shared" si="24"/>
        <v>9.481481481481483</v>
      </c>
      <c r="Z60">
        <f t="shared" si="25"/>
        <v>21</v>
      </c>
      <c r="AA60">
        <v>5</v>
      </c>
      <c r="AC60" s="7" t="s">
        <v>13</v>
      </c>
      <c r="AD60" s="16">
        <v>119</v>
      </c>
      <c r="AE60" s="24">
        <f t="shared" si="26"/>
        <v>5.409090909090909</v>
      </c>
      <c r="AF60" s="65">
        <f t="shared" si="27"/>
        <v>0.9015151515151515</v>
      </c>
      <c r="AG60" s="30">
        <v>1</v>
      </c>
      <c r="AH60" s="51">
        <v>2</v>
      </c>
      <c r="AI60" s="162"/>
    </row>
    <row r="61" ht="12.75">
      <c r="AG61" s="30">
        <f>SUM(AG55:AG60)</f>
        <v>10</v>
      </c>
    </row>
    <row r="62" spans="1:18" ht="12.75">
      <c r="A62" s="7" t="s">
        <v>2</v>
      </c>
      <c r="B62" s="8">
        <f aca="true" t="shared" si="28" ref="B62:B67">SUM(B55:M55)</f>
        <v>164</v>
      </c>
      <c r="N62" s="7" t="s">
        <v>2</v>
      </c>
      <c r="O62" s="77">
        <f aca="true" t="shared" si="29" ref="O62:O67">SUM(N55:Y55)</f>
        <v>176.29629629629628</v>
      </c>
      <c r="P62" s="15"/>
      <c r="Q62" s="52" t="s">
        <v>2</v>
      </c>
      <c r="R62" s="68">
        <f aca="true" t="shared" si="30" ref="R62:R67">SUM(N55:V55)</f>
        <v>137</v>
      </c>
    </row>
    <row r="63" spans="1:29" ht="12.75">
      <c r="A63" s="7" t="s">
        <v>5</v>
      </c>
      <c r="B63" s="8">
        <f t="shared" si="28"/>
        <v>137</v>
      </c>
      <c r="N63" s="7" t="s">
        <v>5</v>
      </c>
      <c r="O63" s="77">
        <f t="shared" si="29"/>
        <v>209.44444444444446</v>
      </c>
      <c r="P63" s="15"/>
      <c r="Q63" s="52" t="s">
        <v>5</v>
      </c>
      <c r="R63" s="68">
        <f t="shared" si="30"/>
        <v>155</v>
      </c>
      <c r="AC63" s="90" t="s">
        <v>158</v>
      </c>
    </row>
    <row r="64" spans="1:35" ht="12.75">
      <c r="A64" s="7" t="s">
        <v>7</v>
      </c>
      <c r="B64" s="8">
        <f t="shared" si="28"/>
        <v>173</v>
      </c>
      <c r="N64" s="7" t="s">
        <v>7</v>
      </c>
      <c r="O64" s="77">
        <f t="shared" si="29"/>
        <v>172.2222222222222</v>
      </c>
      <c r="P64" s="15"/>
      <c r="Q64" s="52" t="s">
        <v>7</v>
      </c>
      <c r="R64" s="68">
        <f t="shared" si="30"/>
        <v>124</v>
      </c>
      <c r="AC64" s="72" t="s">
        <v>0</v>
      </c>
      <c r="AD64" s="72" t="s">
        <v>110</v>
      </c>
      <c r="AE64" s="72" t="s">
        <v>120</v>
      </c>
      <c r="AF64" s="72" t="s">
        <v>147</v>
      </c>
      <c r="AG64" s="72" t="s">
        <v>119</v>
      </c>
      <c r="AH64" s="72" t="s">
        <v>111</v>
      </c>
      <c r="AI64" s="53" t="s">
        <v>106</v>
      </c>
    </row>
    <row r="65" spans="1:35" ht="12.75">
      <c r="A65" s="7" t="s">
        <v>9</v>
      </c>
      <c r="B65" s="8">
        <f t="shared" si="28"/>
        <v>177</v>
      </c>
      <c r="N65" s="7" t="s">
        <v>9</v>
      </c>
      <c r="O65" s="77">
        <f t="shared" si="29"/>
        <v>196.88888888888889</v>
      </c>
      <c r="P65" s="15"/>
      <c r="Q65" s="52" t="s">
        <v>9</v>
      </c>
      <c r="R65" s="68">
        <f t="shared" si="30"/>
        <v>153</v>
      </c>
      <c r="AC65" s="7" t="s">
        <v>2</v>
      </c>
      <c r="AD65" s="16" t="e">
        <f>202*#REF!</f>
        <v>#REF!</v>
      </c>
      <c r="AE65" s="24" t="e">
        <f aca="true" t="shared" si="31" ref="AE65:AE70">AD65/AG65/22</f>
        <v>#REF!</v>
      </c>
      <c r="AF65" s="65" t="e">
        <f aca="true" t="shared" si="32" ref="AF65:AF70">AE65/6</f>
        <v>#REF!</v>
      </c>
      <c r="AG65" s="30">
        <v>1.8</v>
      </c>
      <c r="AH65" s="51">
        <v>4</v>
      </c>
      <c r="AI65" s="208">
        <v>-0.2</v>
      </c>
    </row>
    <row r="66" spans="1:37" ht="12.75">
      <c r="A66" s="7" t="s">
        <v>11</v>
      </c>
      <c r="B66" s="8">
        <f t="shared" si="28"/>
        <v>86</v>
      </c>
      <c r="N66" s="7" t="s">
        <v>11</v>
      </c>
      <c r="O66" s="77">
        <f t="shared" si="29"/>
        <v>87.85185185185186</v>
      </c>
      <c r="P66" s="15"/>
      <c r="Q66" s="52" t="s">
        <v>11</v>
      </c>
      <c r="R66" s="68">
        <f t="shared" si="30"/>
        <v>72</v>
      </c>
      <c r="AC66" s="7" t="s">
        <v>5</v>
      </c>
      <c r="AD66" s="16" t="e">
        <f>155*#REF!</f>
        <v>#REF!</v>
      </c>
      <c r="AE66" s="24" t="e">
        <f t="shared" si="31"/>
        <v>#REF!</v>
      </c>
      <c r="AF66" s="65" t="e">
        <f t="shared" si="32"/>
        <v>#REF!</v>
      </c>
      <c r="AG66" s="30">
        <v>1.8</v>
      </c>
      <c r="AH66" s="51">
        <v>3</v>
      </c>
      <c r="AI66" s="208">
        <v>-0.2</v>
      </c>
      <c r="AJ66" s="205" t="e">
        <f>(AF65+AF69)/2</f>
        <v>#REF!</v>
      </c>
      <c r="AK66" s="206" t="s">
        <v>152</v>
      </c>
    </row>
    <row r="67" spans="1:37" ht="12.75">
      <c r="A67" s="7" t="s">
        <v>13</v>
      </c>
      <c r="B67" s="8">
        <f t="shared" si="28"/>
        <v>109</v>
      </c>
      <c r="N67" s="7" t="s">
        <v>13</v>
      </c>
      <c r="O67" s="77">
        <f t="shared" si="29"/>
        <v>128.92592592592592</v>
      </c>
      <c r="P67" s="15"/>
      <c r="Q67" s="52" t="s">
        <v>13</v>
      </c>
      <c r="R67" s="68">
        <f t="shared" si="30"/>
        <v>101</v>
      </c>
      <c r="AC67" s="7" t="s">
        <v>7</v>
      </c>
      <c r="AD67" s="16" t="e">
        <f>262*#REF!</f>
        <v>#REF!</v>
      </c>
      <c r="AE67" s="24" t="e">
        <f t="shared" si="31"/>
        <v>#REF!</v>
      </c>
      <c r="AF67" s="65" t="e">
        <f t="shared" si="32"/>
        <v>#REF!</v>
      </c>
      <c r="AG67" s="30">
        <v>2.15</v>
      </c>
      <c r="AH67" s="51">
        <v>3</v>
      </c>
      <c r="AI67" s="45">
        <v>0.15</v>
      </c>
      <c r="AJ67" s="205" t="e">
        <f>(AF66+AF70)/2</f>
        <v>#REF!</v>
      </c>
      <c r="AK67" s="206" t="s">
        <v>153</v>
      </c>
    </row>
    <row r="68" spans="29:37" ht="12.75">
      <c r="AC68" s="7" t="s">
        <v>9</v>
      </c>
      <c r="AD68" s="16" t="e">
        <f>227*#REF!</f>
        <v>#REF!</v>
      </c>
      <c r="AE68" s="24" t="e">
        <f t="shared" si="31"/>
        <v>#REF!</v>
      </c>
      <c r="AF68" s="65" t="e">
        <f t="shared" si="32"/>
        <v>#REF!</v>
      </c>
      <c r="AG68" s="30">
        <v>1.85</v>
      </c>
      <c r="AH68" s="51">
        <v>4</v>
      </c>
      <c r="AI68" s="209">
        <f>-AI67</f>
        <v>-0.15</v>
      </c>
      <c r="AJ68" s="205" t="e">
        <f>(AF67+AF68)/2</f>
        <v>#REF!</v>
      </c>
      <c r="AK68" s="206" t="s">
        <v>154</v>
      </c>
    </row>
    <row r="69" spans="29:35" ht="12.75">
      <c r="AC69" s="7" t="s">
        <v>11</v>
      </c>
      <c r="AD69" s="16" t="e">
        <f>140*#REF!</f>
        <v>#REF!</v>
      </c>
      <c r="AE69" s="24" t="e">
        <f t="shared" si="31"/>
        <v>#REF!</v>
      </c>
      <c r="AF69" s="65" t="e">
        <f t="shared" si="32"/>
        <v>#REF!</v>
      </c>
      <c r="AG69" s="30">
        <v>1.2</v>
      </c>
      <c r="AH69" s="51">
        <v>2</v>
      </c>
      <c r="AI69" s="209">
        <f>-AI65</f>
        <v>0.2</v>
      </c>
    </row>
    <row r="70" spans="1:35" ht="12.75">
      <c r="A70" s="221" t="s">
        <v>105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AC70" s="7" t="s">
        <v>13</v>
      </c>
      <c r="AD70" s="16" t="e">
        <f>119*#REF!</f>
        <v>#REF!</v>
      </c>
      <c r="AE70" s="24" t="e">
        <f t="shared" si="31"/>
        <v>#REF!</v>
      </c>
      <c r="AF70" s="65" t="e">
        <f t="shared" si="32"/>
        <v>#REF!</v>
      </c>
      <c r="AG70" s="30">
        <v>1.2</v>
      </c>
      <c r="AH70" s="51">
        <v>2</v>
      </c>
      <c r="AI70" s="209">
        <f>-AI66</f>
        <v>0.2</v>
      </c>
    </row>
    <row r="71" spans="1:33" ht="12.75">
      <c r="A71" s="1" t="s">
        <v>0</v>
      </c>
      <c r="B71" s="1" t="s">
        <v>88</v>
      </c>
      <c r="C71" s="1" t="s">
        <v>89</v>
      </c>
      <c r="D71" s="1" t="s">
        <v>90</v>
      </c>
      <c r="E71" s="1" t="s">
        <v>91</v>
      </c>
      <c r="F71" s="1" t="s">
        <v>92</v>
      </c>
      <c r="G71" s="1" t="s">
        <v>93</v>
      </c>
      <c r="H71" s="1" t="s">
        <v>94</v>
      </c>
      <c r="I71" s="1" t="s">
        <v>95</v>
      </c>
      <c r="J71" s="1" t="s">
        <v>96</v>
      </c>
      <c r="K71" s="1" t="s">
        <v>97</v>
      </c>
      <c r="L71" s="1" t="s">
        <v>98</v>
      </c>
      <c r="M71" s="1" t="s">
        <v>99</v>
      </c>
      <c r="N71" s="19" t="s">
        <v>88</v>
      </c>
      <c r="O71" s="19" t="s">
        <v>89</v>
      </c>
      <c r="P71" s="19" t="s">
        <v>90</v>
      </c>
      <c r="Q71" s="19" t="s">
        <v>91</v>
      </c>
      <c r="R71" s="19" t="s">
        <v>92</v>
      </c>
      <c r="S71" s="19" t="s">
        <v>93</v>
      </c>
      <c r="T71" s="19" t="s">
        <v>94</v>
      </c>
      <c r="U71" s="19" t="s">
        <v>95</v>
      </c>
      <c r="V71" s="19" t="s">
        <v>96</v>
      </c>
      <c r="W71" s="33" t="s">
        <v>97</v>
      </c>
      <c r="X71" s="33" t="s">
        <v>98</v>
      </c>
      <c r="Y71" s="33" t="s">
        <v>99</v>
      </c>
      <c r="Z71" s="50" t="s">
        <v>122</v>
      </c>
      <c r="AA71" s="35" t="s">
        <v>100</v>
      </c>
      <c r="AG71" s="30">
        <f>SUM(AG65:AG70)</f>
        <v>9.999999999999998</v>
      </c>
    </row>
    <row r="72" spans="1:33" ht="12.75">
      <c r="A72" s="7" t="s">
        <v>2</v>
      </c>
      <c r="B72">
        <v>7</v>
      </c>
      <c r="C72">
        <v>15</v>
      </c>
      <c r="D72">
        <v>15</v>
      </c>
      <c r="E72">
        <v>8</v>
      </c>
      <c r="F72">
        <v>14</v>
      </c>
      <c r="G72">
        <v>8</v>
      </c>
      <c r="H72">
        <v>8</v>
      </c>
      <c r="I72">
        <v>0</v>
      </c>
      <c r="J72">
        <v>12</v>
      </c>
      <c r="K72">
        <v>13</v>
      </c>
      <c r="L72">
        <v>12</v>
      </c>
      <c r="M72">
        <v>9</v>
      </c>
      <c r="N72">
        <v>3</v>
      </c>
      <c r="O72">
        <v>6</v>
      </c>
      <c r="P72">
        <v>8</v>
      </c>
      <c r="Q72">
        <v>7</v>
      </c>
      <c r="R72">
        <v>15</v>
      </c>
      <c r="S72">
        <v>19</v>
      </c>
      <c r="T72">
        <v>18</v>
      </c>
      <c r="U72">
        <v>4</v>
      </c>
      <c r="V72">
        <v>5</v>
      </c>
      <c r="W72" s="36">
        <f aca="true" t="shared" si="33" ref="W72:Y77">SUM(T72:V72)*1/3</f>
        <v>9</v>
      </c>
      <c r="X72" s="37">
        <f t="shared" si="33"/>
        <v>6</v>
      </c>
      <c r="Y72" s="38">
        <f t="shared" si="33"/>
        <v>6.666666666666667</v>
      </c>
      <c r="Z72">
        <f aca="true" t="shared" si="34" ref="Z72:Z77">MAX(B72:Y72)</f>
        <v>19</v>
      </c>
      <c r="AA72">
        <v>3</v>
      </c>
      <c r="AG72" s="74"/>
    </row>
    <row r="73" spans="1:29" ht="12.75">
      <c r="A73" s="7" t="s">
        <v>5</v>
      </c>
      <c r="B73">
        <v>1</v>
      </c>
      <c r="C73">
        <v>7</v>
      </c>
      <c r="D73">
        <v>6</v>
      </c>
      <c r="E73">
        <v>5</v>
      </c>
      <c r="F73">
        <v>3</v>
      </c>
      <c r="G73">
        <v>7</v>
      </c>
      <c r="H73">
        <v>5</v>
      </c>
      <c r="I73">
        <v>4</v>
      </c>
      <c r="J73">
        <v>2</v>
      </c>
      <c r="K73">
        <v>4</v>
      </c>
      <c r="L73">
        <v>7</v>
      </c>
      <c r="M73">
        <v>0</v>
      </c>
      <c r="N73">
        <v>5</v>
      </c>
      <c r="O73">
        <v>4</v>
      </c>
      <c r="P73">
        <v>5</v>
      </c>
      <c r="Q73">
        <v>6</v>
      </c>
      <c r="R73">
        <v>4</v>
      </c>
      <c r="S73">
        <v>1</v>
      </c>
      <c r="T73">
        <v>2</v>
      </c>
      <c r="U73">
        <v>2</v>
      </c>
      <c r="V73">
        <v>2</v>
      </c>
      <c r="W73" s="39">
        <f t="shared" si="33"/>
        <v>2</v>
      </c>
      <c r="X73" s="40">
        <f t="shared" si="33"/>
        <v>2</v>
      </c>
      <c r="Y73" s="41">
        <f t="shared" si="33"/>
        <v>2</v>
      </c>
      <c r="Z73">
        <f t="shared" si="34"/>
        <v>7</v>
      </c>
      <c r="AA73">
        <v>6</v>
      </c>
      <c r="AC73" s="90" t="s">
        <v>157</v>
      </c>
    </row>
    <row r="74" spans="1:35" ht="12.75">
      <c r="A74" s="7" t="s">
        <v>7</v>
      </c>
      <c r="B74">
        <v>7</v>
      </c>
      <c r="C74">
        <v>13</v>
      </c>
      <c r="D74">
        <v>9</v>
      </c>
      <c r="E74">
        <v>4</v>
      </c>
      <c r="F74">
        <v>14</v>
      </c>
      <c r="G74">
        <v>9</v>
      </c>
      <c r="H74">
        <v>20</v>
      </c>
      <c r="I74">
        <v>9</v>
      </c>
      <c r="J74">
        <v>15</v>
      </c>
      <c r="K74">
        <v>23</v>
      </c>
      <c r="L74">
        <v>17</v>
      </c>
      <c r="M74">
        <v>14</v>
      </c>
      <c r="N74">
        <v>13</v>
      </c>
      <c r="O74">
        <v>11</v>
      </c>
      <c r="P74">
        <v>17</v>
      </c>
      <c r="Q74">
        <v>9</v>
      </c>
      <c r="R74">
        <v>15</v>
      </c>
      <c r="S74">
        <v>25</v>
      </c>
      <c r="T74">
        <v>13</v>
      </c>
      <c r="U74">
        <v>6</v>
      </c>
      <c r="V74">
        <v>20</v>
      </c>
      <c r="W74" s="39">
        <f t="shared" si="33"/>
        <v>13</v>
      </c>
      <c r="X74" s="40">
        <f t="shared" si="33"/>
        <v>13</v>
      </c>
      <c r="Y74" s="41">
        <f t="shared" si="33"/>
        <v>15.333333333333334</v>
      </c>
      <c r="Z74">
        <f t="shared" si="34"/>
        <v>25</v>
      </c>
      <c r="AA74">
        <v>4</v>
      </c>
      <c r="AC74" s="72" t="s">
        <v>0</v>
      </c>
      <c r="AD74" s="72" t="s">
        <v>110</v>
      </c>
      <c r="AE74" s="72" t="s">
        <v>120</v>
      </c>
      <c r="AF74" s="72" t="s">
        <v>147</v>
      </c>
      <c r="AG74" s="72" t="s">
        <v>119</v>
      </c>
      <c r="AH74" s="72" t="s">
        <v>111</v>
      </c>
      <c r="AI74" s="53" t="s">
        <v>106</v>
      </c>
    </row>
    <row r="75" spans="1:35" ht="12.75">
      <c r="A75" s="7" t="s">
        <v>9</v>
      </c>
      <c r="B75">
        <v>12</v>
      </c>
      <c r="C75">
        <v>17</v>
      </c>
      <c r="D75">
        <v>17</v>
      </c>
      <c r="E75">
        <v>14</v>
      </c>
      <c r="F75">
        <v>33</v>
      </c>
      <c r="G75">
        <v>12</v>
      </c>
      <c r="H75">
        <v>14</v>
      </c>
      <c r="I75">
        <v>9</v>
      </c>
      <c r="J75">
        <v>13</v>
      </c>
      <c r="K75">
        <v>9</v>
      </c>
      <c r="L75">
        <v>14</v>
      </c>
      <c r="M75">
        <v>8</v>
      </c>
      <c r="N75">
        <v>11</v>
      </c>
      <c r="O75">
        <v>8</v>
      </c>
      <c r="P75">
        <v>13</v>
      </c>
      <c r="Q75">
        <v>10</v>
      </c>
      <c r="R75">
        <v>8</v>
      </c>
      <c r="S75">
        <v>7</v>
      </c>
      <c r="T75">
        <v>11</v>
      </c>
      <c r="U75">
        <v>10</v>
      </c>
      <c r="V75">
        <v>10</v>
      </c>
      <c r="W75" s="39">
        <f t="shared" si="33"/>
        <v>10.333333333333334</v>
      </c>
      <c r="X75" s="40">
        <f t="shared" si="33"/>
        <v>10.111111111111112</v>
      </c>
      <c r="Y75" s="41">
        <f t="shared" si="33"/>
        <v>10.14814814814815</v>
      </c>
      <c r="Z75">
        <f t="shared" si="34"/>
        <v>33</v>
      </c>
      <c r="AA75">
        <v>6</v>
      </c>
      <c r="AC75" s="7" t="s">
        <v>2</v>
      </c>
      <c r="AD75" s="16" t="e">
        <f>202*#REF!</f>
        <v>#REF!</v>
      </c>
      <c r="AE75" s="24" t="e">
        <f aca="true" t="shared" si="35" ref="AE75:AE80">AD75/AG75/22</f>
        <v>#REF!</v>
      </c>
      <c r="AF75" s="65" t="e">
        <f aca="true" t="shared" si="36" ref="AF75:AF80">AE75/6</f>
        <v>#REF!</v>
      </c>
      <c r="AG75" s="30">
        <v>1.8</v>
      </c>
      <c r="AH75" s="51">
        <v>4</v>
      </c>
      <c r="AI75" s="208">
        <v>-0.2</v>
      </c>
    </row>
    <row r="76" spans="1:37" ht="12.75">
      <c r="A76" s="7" t="s">
        <v>11</v>
      </c>
      <c r="B76">
        <v>22</v>
      </c>
      <c r="C76">
        <v>11</v>
      </c>
      <c r="D76">
        <v>16</v>
      </c>
      <c r="E76">
        <v>10</v>
      </c>
      <c r="F76">
        <v>16</v>
      </c>
      <c r="G76">
        <v>9</v>
      </c>
      <c r="H76">
        <v>9</v>
      </c>
      <c r="I76">
        <v>2</v>
      </c>
      <c r="J76">
        <v>12</v>
      </c>
      <c r="K76">
        <v>3</v>
      </c>
      <c r="L76">
        <v>10</v>
      </c>
      <c r="M76">
        <v>2</v>
      </c>
      <c r="N76">
        <v>6</v>
      </c>
      <c r="O76">
        <v>6</v>
      </c>
      <c r="P76">
        <v>11</v>
      </c>
      <c r="Q76">
        <v>4</v>
      </c>
      <c r="R76">
        <v>9</v>
      </c>
      <c r="S76">
        <v>7</v>
      </c>
      <c r="T76">
        <v>12</v>
      </c>
      <c r="U76">
        <v>6</v>
      </c>
      <c r="V76">
        <v>9</v>
      </c>
      <c r="W76" s="39">
        <f t="shared" si="33"/>
        <v>9</v>
      </c>
      <c r="X76" s="40">
        <f t="shared" si="33"/>
        <v>8</v>
      </c>
      <c r="Y76" s="41">
        <f t="shared" si="33"/>
        <v>8.666666666666666</v>
      </c>
      <c r="Z76">
        <f t="shared" si="34"/>
        <v>22</v>
      </c>
      <c r="AA76">
        <v>10</v>
      </c>
      <c r="AC76" s="7" t="s">
        <v>5</v>
      </c>
      <c r="AD76" s="16" t="e">
        <f>155*#REF!</f>
        <v>#REF!</v>
      </c>
      <c r="AE76" s="24" t="e">
        <f t="shared" si="35"/>
        <v>#REF!</v>
      </c>
      <c r="AF76" s="65" t="e">
        <f t="shared" si="36"/>
        <v>#REF!</v>
      </c>
      <c r="AG76" s="30">
        <v>1.8</v>
      </c>
      <c r="AH76" s="51">
        <v>3</v>
      </c>
      <c r="AI76" s="208">
        <v>-0.2</v>
      </c>
      <c r="AJ76" s="205" t="e">
        <f>(AF75+AF79)/2</f>
        <v>#REF!</v>
      </c>
      <c r="AK76" s="206" t="s">
        <v>152</v>
      </c>
    </row>
    <row r="77" spans="1:37" ht="12.75">
      <c r="A77" s="7" t="s">
        <v>13</v>
      </c>
      <c r="B77">
        <v>7</v>
      </c>
      <c r="C77">
        <v>9</v>
      </c>
      <c r="D77">
        <v>14</v>
      </c>
      <c r="E77">
        <v>2</v>
      </c>
      <c r="F77">
        <v>7</v>
      </c>
      <c r="G77">
        <v>2</v>
      </c>
      <c r="H77">
        <v>8</v>
      </c>
      <c r="I77">
        <v>9</v>
      </c>
      <c r="J77">
        <v>2</v>
      </c>
      <c r="K77">
        <v>6</v>
      </c>
      <c r="L77">
        <v>3</v>
      </c>
      <c r="M77">
        <v>4</v>
      </c>
      <c r="N77">
        <v>9</v>
      </c>
      <c r="O77">
        <v>10</v>
      </c>
      <c r="P77">
        <v>6</v>
      </c>
      <c r="Q77">
        <v>7</v>
      </c>
      <c r="R77">
        <v>4</v>
      </c>
      <c r="S77">
        <v>3</v>
      </c>
      <c r="T77">
        <v>7</v>
      </c>
      <c r="U77">
        <v>5</v>
      </c>
      <c r="V77">
        <v>4</v>
      </c>
      <c r="W77" s="42">
        <f t="shared" si="33"/>
        <v>5.333333333333333</v>
      </c>
      <c r="X77" s="43">
        <f t="shared" si="33"/>
        <v>4.777777777777778</v>
      </c>
      <c r="Y77" s="44">
        <f t="shared" si="33"/>
        <v>4.703703703703703</v>
      </c>
      <c r="Z77">
        <f t="shared" si="34"/>
        <v>14</v>
      </c>
      <c r="AA77">
        <v>2</v>
      </c>
      <c r="AC77" s="7" t="s">
        <v>7</v>
      </c>
      <c r="AD77" s="16" t="e">
        <f>262*#REF!</f>
        <v>#REF!</v>
      </c>
      <c r="AE77" s="24" t="e">
        <f t="shared" si="35"/>
        <v>#REF!</v>
      </c>
      <c r="AF77" s="65" t="e">
        <f t="shared" si="36"/>
        <v>#REF!</v>
      </c>
      <c r="AG77" s="30">
        <v>2.15</v>
      </c>
      <c r="AH77" s="51">
        <v>3</v>
      </c>
      <c r="AI77" s="45">
        <v>0.15</v>
      </c>
      <c r="AJ77" s="205" t="e">
        <f>(AF76+AF80)/2</f>
        <v>#REF!</v>
      </c>
      <c r="AK77" s="206" t="s">
        <v>153</v>
      </c>
    </row>
    <row r="78" spans="29:37" ht="12.75">
      <c r="AC78" s="7" t="s">
        <v>9</v>
      </c>
      <c r="AD78" s="16" t="e">
        <f>227*#REF!</f>
        <v>#REF!</v>
      </c>
      <c r="AE78" s="24" t="e">
        <f t="shared" si="35"/>
        <v>#REF!</v>
      </c>
      <c r="AF78" s="65" t="e">
        <f t="shared" si="36"/>
        <v>#REF!</v>
      </c>
      <c r="AG78" s="30">
        <v>1.85</v>
      </c>
      <c r="AH78" s="51">
        <v>4</v>
      </c>
      <c r="AI78" s="209">
        <f>-AI77</f>
        <v>-0.15</v>
      </c>
      <c r="AJ78" s="205" t="e">
        <f>(AF77+AF78)/2</f>
        <v>#REF!</v>
      </c>
      <c r="AK78" s="206" t="s">
        <v>154</v>
      </c>
    </row>
    <row r="79" spans="1:35" ht="12.75">
      <c r="A79" s="7" t="s">
        <v>2</v>
      </c>
      <c r="B79" s="8">
        <f aca="true" t="shared" si="37" ref="B79:B84">SUM(B72:M72)</f>
        <v>121</v>
      </c>
      <c r="N79" s="7" t="s">
        <v>2</v>
      </c>
      <c r="O79" s="77">
        <f aca="true" t="shared" si="38" ref="O79:O84">SUM(N72:Y72)</f>
        <v>106.66666666666667</v>
      </c>
      <c r="Q79" s="52" t="s">
        <v>2</v>
      </c>
      <c r="R79" s="68">
        <f aca="true" t="shared" si="39" ref="R79:R84">SUM(N72:V72)</f>
        <v>85</v>
      </c>
      <c r="AC79" s="7" t="s">
        <v>11</v>
      </c>
      <c r="AD79" s="16" t="e">
        <f>140*#REF!</f>
        <v>#REF!</v>
      </c>
      <c r="AE79" s="24" t="e">
        <f t="shared" si="35"/>
        <v>#REF!</v>
      </c>
      <c r="AF79" s="65" t="e">
        <f t="shared" si="36"/>
        <v>#REF!</v>
      </c>
      <c r="AG79" s="30">
        <v>1.2</v>
      </c>
      <c r="AH79" s="51">
        <v>2</v>
      </c>
      <c r="AI79" s="209">
        <f>-AI75</f>
        <v>0.2</v>
      </c>
    </row>
    <row r="80" spans="1:35" ht="12.75">
      <c r="A80" s="7" t="s">
        <v>5</v>
      </c>
      <c r="B80" s="8">
        <f t="shared" si="37"/>
        <v>51</v>
      </c>
      <c r="N80" s="7" t="s">
        <v>5</v>
      </c>
      <c r="O80" s="77">
        <f t="shared" si="38"/>
        <v>37</v>
      </c>
      <c r="Q80" s="52" t="s">
        <v>5</v>
      </c>
      <c r="R80" s="68">
        <f t="shared" si="39"/>
        <v>31</v>
      </c>
      <c r="AC80" s="7" t="s">
        <v>13</v>
      </c>
      <c r="AD80" s="16" t="e">
        <f>119*#REF!</f>
        <v>#REF!</v>
      </c>
      <c r="AE80" s="24" t="e">
        <f t="shared" si="35"/>
        <v>#REF!</v>
      </c>
      <c r="AF80" s="65" t="e">
        <f t="shared" si="36"/>
        <v>#REF!</v>
      </c>
      <c r="AG80" s="30">
        <v>1.2</v>
      </c>
      <c r="AH80" s="51">
        <v>2</v>
      </c>
      <c r="AI80" s="209">
        <f>-AI76</f>
        <v>0.2</v>
      </c>
    </row>
    <row r="81" spans="1:33" ht="12.75">
      <c r="A81" s="7" t="s">
        <v>7</v>
      </c>
      <c r="B81" s="8">
        <f t="shared" si="37"/>
        <v>154</v>
      </c>
      <c r="N81" s="7" t="s">
        <v>7</v>
      </c>
      <c r="O81" s="77">
        <f t="shared" si="38"/>
        <v>170.33333333333334</v>
      </c>
      <c r="Q81" s="52" t="s">
        <v>7</v>
      </c>
      <c r="R81" s="68">
        <f t="shared" si="39"/>
        <v>129</v>
      </c>
      <c r="AG81" s="30">
        <f>SUM(AG75:AG80)</f>
        <v>9.999999999999998</v>
      </c>
    </row>
    <row r="82" spans="1:33" ht="12.75">
      <c r="A82" s="7" t="s">
        <v>9</v>
      </c>
      <c r="B82" s="8">
        <f t="shared" si="37"/>
        <v>172</v>
      </c>
      <c r="N82" s="7" t="s">
        <v>9</v>
      </c>
      <c r="O82" s="77">
        <f t="shared" si="38"/>
        <v>118.5925925925926</v>
      </c>
      <c r="Q82" s="52" t="s">
        <v>9</v>
      </c>
      <c r="R82" s="68">
        <f t="shared" si="39"/>
        <v>88</v>
      </c>
      <c r="AG82" s="74"/>
    </row>
    <row r="83" spans="1:33" ht="12.75">
      <c r="A83" s="7" t="s">
        <v>11</v>
      </c>
      <c r="B83" s="8">
        <f t="shared" si="37"/>
        <v>122</v>
      </c>
      <c r="N83" s="7" t="s">
        <v>11</v>
      </c>
      <c r="O83" s="77">
        <f t="shared" si="38"/>
        <v>95.66666666666667</v>
      </c>
      <c r="Q83" s="52" t="s">
        <v>11</v>
      </c>
      <c r="R83" s="68">
        <f t="shared" si="39"/>
        <v>70</v>
      </c>
      <c r="AG83" s="74"/>
    </row>
    <row r="84" spans="1:29" ht="12.75">
      <c r="A84" s="7" t="s">
        <v>13</v>
      </c>
      <c r="B84" s="8">
        <f t="shared" si="37"/>
        <v>73</v>
      </c>
      <c r="N84" s="7" t="s">
        <v>13</v>
      </c>
      <c r="O84" s="77">
        <f t="shared" si="38"/>
        <v>69.81481481481482</v>
      </c>
      <c r="Q84" s="52" t="s">
        <v>13</v>
      </c>
      <c r="R84" s="68">
        <f t="shared" si="39"/>
        <v>55</v>
      </c>
      <c r="AC84" s="90" t="s">
        <v>156</v>
      </c>
    </row>
    <row r="85" spans="29:35" ht="12.75">
      <c r="AC85" s="72" t="s">
        <v>0</v>
      </c>
      <c r="AD85" s="72" t="s">
        <v>110</v>
      </c>
      <c r="AE85" s="72" t="s">
        <v>120</v>
      </c>
      <c r="AF85" s="72" t="s">
        <v>147</v>
      </c>
      <c r="AG85" s="72" t="s">
        <v>119</v>
      </c>
      <c r="AH85" s="72" t="s">
        <v>111</v>
      </c>
      <c r="AI85" s="53" t="s">
        <v>106</v>
      </c>
    </row>
    <row r="86" spans="29:35" ht="12.75">
      <c r="AC86" s="7" t="s">
        <v>2</v>
      </c>
      <c r="AD86" s="16">
        <v>218.53870367098415</v>
      </c>
      <c r="AE86" s="24">
        <f aca="true" t="shared" si="40" ref="AE86:AE91">AD86/AG86/22</f>
        <v>4.966788719795094</v>
      </c>
      <c r="AF86" s="65">
        <f aca="true" t="shared" si="41" ref="AF86:AF91">AE86/6</f>
        <v>0.827798119965849</v>
      </c>
      <c r="AG86" s="30">
        <v>2</v>
      </c>
      <c r="AH86" s="51">
        <v>4</v>
      </c>
      <c r="AI86" s="8">
        <v>0</v>
      </c>
    </row>
    <row r="87" spans="1:37" ht="12.75">
      <c r="A87" s="1" t="s">
        <v>0</v>
      </c>
      <c r="B87" s="11" t="s">
        <v>88</v>
      </c>
      <c r="C87" s="11" t="s">
        <v>89</v>
      </c>
      <c r="D87" s="11" t="s">
        <v>90</v>
      </c>
      <c r="E87" s="11" t="s">
        <v>91</v>
      </c>
      <c r="F87" s="11" t="s">
        <v>92</v>
      </c>
      <c r="G87" s="11" t="s">
        <v>93</v>
      </c>
      <c r="H87" s="11" t="s">
        <v>94</v>
      </c>
      <c r="I87" s="11" t="s">
        <v>95</v>
      </c>
      <c r="J87" s="11" t="s">
        <v>96</v>
      </c>
      <c r="K87" s="11" t="s">
        <v>97</v>
      </c>
      <c r="L87" s="11" t="s">
        <v>98</v>
      </c>
      <c r="M87" s="11" t="s">
        <v>99</v>
      </c>
      <c r="N87" s="202" t="s">
        <v>88</v>
      </c>
      <c r="O87" s="202" t="s">
        <v>89</v>
      </c>
      <c r="P87" s="202" t="s">
        <v>90</v>
      </c>
      <c r="Q87" s="202" t="s">
        <v>91</v>
      </c>
      <c r="R87" s="202" t="s">
        <v>92</v>
      </c>
      <c r="S87" s="202" t="s">
        <v>93</v>
      </c>
      <c r="T87" s="202" t="s">
        <v>94</v>
      </c>
      <c r="U87" s="202" t="s">
        <v>95</v>
      </c>
      <c r="V87" s="202" t="s">
        <v>96</v>
      </c>
      <c r="W87" s="203" t="s">
        <v>97</v>
      </c>
      <c r="X87" s="203" t="s">
        <v>98</v>
      </c>
      <c r="Y87" s="203" t="s">
        <v>99</v>
      </c>
      <c r="Z87" s="50" t="s">
        <v>122</v>
      </c>
      <c r="AC87" s="7" t="s">
        <v>5</v>
      </c>
      <c r="AD87" s="16">
        <v>167.69058945050764</v>
      </c>
      <c r="AE87" s="24">
        <f t="shared" si="40"/>
        <v>6.628086539545757</v>
      </c>
      <c r="AF87" s="65">
        <f t="shared" si="41"/>
        <v>1.104681089924293</v>
      </c>
      <c r="AG87" s="30">
        <v>1.15</v>
      </c>
      <c r="AH87" s="51">
        <v>3</v>
      </c>
      <c r="AI87" s="8">
        <v>0.15</v>
      </c>
      <c r="AJ87" s="205">
        <f>(AF86+AF90)/2</f>
        <v>0.9876205292661862</v>
      </c>
      <c r="AK87" s="206" t="s">
        <v>152</v>
      </c>
    </row>
    <row r="88" spans="1:37" ht="12.75">
      <c r="A88" s="7" t="s">
        <v>2</v>
      </c>
      <c r="B88" s="77">
        <f aca="true" t="shared" si="42" ref="B88:Y88">B4+B21+B39+B55+B72</f>
        <v>115</v>
      </c>
      <c r="C88" s="77">
        <f t="shared" si="42"/>
        <v>142</v>
      </c>
      <c r="D88" s="77">
        <f t="shared" si="42"/>
        <v>165</v>
      </c>
      <c r="E88" s="77">
        <f t="shared" si="42"/>
        <v>129</v>
      </c>
      <c r="F88" s="77">
        <f t="shared" si="42"/>
        <v>145</v>
      </c>
      <c r="G88" s="77">
        <f t="shared" si="42"/>
        <v>152</v>
      </c>
      <c r="H88" s="77">
        <f t="shared" si="42"/>
        <v>155</v>
      </c>
      <c r="I88" s="77">
        <f t="shared" si="42"/>
        <v>87</v>
      </c>
      <c r="J88" s="77">
        <f t="shared" si="42"/>
        <v>202</v>
      </c>
      <c r="K88" s="77">
        <f t="shared" si="42"/>
        <v>184</v>
      </c>
      <c r="L88" s="77">
        <f t="shared" si="42"/>
        <v>140</v>
      </c>
      <c r="M88" s="77">
        <f t="shared" si="42"/>
        <v>127</v>
      </c>
      <c r="N88" s="77">
        <f t="shared" si="42"/>
        <v>155</v>
      </c>
      <c r="O88" s="77">
        <f t="shared" si="42"/>
        <v>134</v>
      </c>
      <c r="P88" s="77">
        <f t="shared" si="42"/>
        <v>159</v>
      </c>
      <c r="Q88" s="77">
        <f t="shared" si="42"/>
        <v>136</v>
      </c>
      <c r="R88" s="77">
        <f t="shared" si="42"/>
        <v>173</v>
      </c>
      <c r="S88" s="77">
        <f t="shared" si="42"/>
        <v>156</v>
      </c>
      <c r="T88" s="77">
        <f t="shared" si="42"/>
        <v>155</v>
      </c>
      <c r="U88" s="77">
        <f t="shared" si="42"/>
        <v>98</v>
      </c>
      <c r="V88" s="77">
        <f t="shared" si="42"/>
        <v>180</v>
      </c>
      <c r="W88" s="77">
        <f t="shared" si="42"/>
        <v>144.33333333333331</v>
      </c>
      <c r="X88" s="77">
        <f t="shared" si="42"/>
        <v>140.77777777777777</v>
      </c>
      <c r="Y88" s="77">
        <f t="shared" si="42"/>
        <v>155.037037037037</v>
      </c>
      <c r="Z88" s="16">
        <f aca="true" t="shared" si="43" ref="Z88:Z93">MAXA(B88:Y88)</f>
        <v>202</v>
      </c>
      <c r="AC88" s="7" t="s">
        <v>7</v>
      </c>
      <c r="AD88" s="16">
        <v>283.45118990989033</v>
      </c>
      <c r="AE88" s="24">
        <f t="shared" si="40"/>
        <v>6.442072497952053</v>
      </c>
      <c r="AF88" s="65">
        <f t="shared" si="41"/>
        <v>1.0736787496586755</v>
      </c>
      <c r="AG88" s="30">
        <v>2</v>
      </c>
      <c r="AH88" s="51">
        <v>3</v>
      </c>
      <c r="AI88" s="8">
        <v>0</v>
      </c>
      <c r="AJ88" s="205">
        <f>(AF87+AF91)/2</f>
        <v>1.1260620142454083</v>
      </c>
      <c r="AK88" s="206" t="s">
        <v>153</v>
      </c>
    </row>
    <row r="89" spans="1:37" ht="12.75">
      <c r="A89" s="7" t="s">
        <v>5</v>
      </c>
      <c r="B89" s="77">
        <f aca="true" t="shared" si="44" ref="B89:Y89">B5+B22+B40+B56+B73</f>
        <v>146</v>
      </c>
      <c r="C89" s="77">
        <f t="shared" si="44"/>
        <v>130</v>
      </c>
      <c r="D89" s="77">
        <f t="shared" si="44"/>
        <v>129</v>
      </c>
      <c r="E89" s="77">
        <f t="shared" si="44"/>
        <v>110</v>
      </c>
      <c r="F89" s="77">
        <f t="shared" si="44"/>
        <v>120</v>
      </c>
      <c r="G89" s="77">
        <f t="shared" si="44"/>
        <v>139</v>
      </c>
      <c r="H89" s="77">
        <f t="shared" si="44"/>
        <v>73</v>
      </c>
      <c r="I89" s="77">
        <f t="shared" si="44"/>
        <v>65</v>
      </c>
      <c r="J89" s="77">
        <f t="shared" si="44"/>
        <v>103</v>
      </c>
      <c r="K89" s="77">
        <f t="shared" si="44"/>
        <v>97</v>
      </c>
      <c r="L89" s="77">
        <f t="shared" si="44"/>
        <v>84</v>
      </c>
      <c r="M89" s="77">
        <f t="shared" si="44"/>
        <v>87</v>
      </c>
      <c r="N89" s="77">
        <f t="shared" si="44"/>
        <v>108</v>
      </c>
      <c r="O89" s="77">
        <f t="shared" si="44"/>
        <v>116</v>
      </c>
      <c r="P89" s="77">
        <f t="shared" si="44"/>
        <v>155</v>
      </c>
      <c r="Q89" s="77">
        <f t="shared" si="44"/>
        <v>124</v>
      </c>
      <c r="R89" s="77">
        <f t="shared" si="44"/>
        <v>142</v>
      </c>
      <c r="S89" s="77">
        <f t="shared" si="44"/>
        <v>118</v>
      </c>
      <c r="T89" s="77">
        <f t="shared" si="44"/>
        <v>124</v>
      </c>
      <c r="U89" s="77">
        <f t="shared" si="44"/>
        <v>93</v>
      </c>
      <c r="V89" s="77">
        <f t="shared" si="44"/>
        <v>95</v>
      </c>
      <c r="W89" s="77">
        <f t="shared" si="44"/>
        <v>104</v>
      </c>
      <c r="X89" s="77">
        <f t="shared" si="44"/>
        <v>97.33333333333333</v>
      </c>
      <c r="Y89" s="77">
        <f t="shared" si="44"/>
        <v>98.77777777777779</v>
      </c>
      <c r="Z89" s="16">
        <f t="shared" si="43"/>
        <v>155</v>
      </c>
      <c r="AC89" s="7" t="s">
        <v>9</v>
      </c>
      <c r="AD89" s="16">
        <v>245.58557293719505</v>
      </c>
      <c r="AE89" s="24">
        <f t="shared" si="40"/>
        <v>5.5814902940271605</v>
      </c>
      <c r="AF89" s="65">
        <f t="shared" si="41"/>
        <v>0.9302483823378601</v>
      </c>
      <c r="AG89" s="30">
        <v>2</v>
      </c>
      <c r="AH89" s="51">
        <v>4</v>
      </c>
      <c r="AI89" s="8">
        <v>0</v>
      </c>
      <c r="AJ89" s="205">
        <f>(AF88+AF89)/2</f>
        <v>1.0019635659982677</v>
      </c>
      <c r="AK89" s="206" t="s">
        <v>154</v>
      </c>
    </row>
    <row r="90" spans="1:35" ht="12.75">
      <c r="A90" s="7" t="s">
        <v>7</v>
      </c>
      <c r="B90" s="77">
        <f aca="true" t="shared" si="45" ref="B90:Y90">B6+B23+B41+B57+B74</f>
        <v>229</v>
      </c>
      <c r="C90" s="77">
        <f t="shared" si="45"/>
        <v>219</v>
      </c>
      <c r="D90" s="77">
        <f t="shared" si="45"/>
        <v>247</v>
      </c>
      <c r="E90" s="77">
        <f t="shared" si="45"/>
        <v>249</v>
      </c>
      <c r="F90" s="77">
        <f t="shared" si="45"/>
        <v>216</v>
      </c>
      <c r="G90" s="77">
        <f t="shared" si="45"/>
        <v>262</v>
      </c>
      <c r="H90" s="77">
        <f t="shared" si="45"/>
        <v>214</v>
      </c>
      <c r="I90" s="77">
        <f t="shared" si="45"/>
        <v>109</v>
      </c>
      <c r="J90" s="77">
        <f t="shared" si="45"/>
        <v>235</v>
      </c>
      <c r="K90" s="77">
        <f t="shared" si="45"/>
        <v>181</v>
      </c>
      <c r="L90" s="77">
        <f t="shared" si="45"/>
        <v>149</v>
      </c>
      <c r="M90" s="77">
        <f t="shared" si="45"/>
        <v>148</v>
      </c>
      <c r="N90" s="77">
        <f t="shared" si="45"/>
        <v>165</v>
      </c>
      <c r="O90" s="77">
        <f t="shared" si="45"/>
        <v>183</v>
      </c>
      <c r="P90" s="77">
        <f t="shared" si="45"/>
        <v>212</v>
      </c>
      <c r="Q90" s="77">
        <f t="shared" si="45"/>
        <v>192</v>
      </c>
      <c r="R90" s="77">
        <f t="shared" si="45"/>
        <v>223</v>
      </c>
      <c r="S90" s="77">
        <f t="shared" si="45"/>
        <v>193</v>
      </c>
      <c r="T90" s="77">
        <f t="shared" si="45"/>
        <v>204</v>
      </c>
      <c r="U90" s="77">
        <f t="shared" si="45"/>
        <v>144</v>
      </c>
      <c r="V90" s="77">
        <f t="shared" si="45"/>
        <v>201</v>
      </c>
      <c r="W90" s="77">
        <f t="shared" si="45"/>
        <v>183</v>
      </c>
      <c r="X90" s="77">
        <f t="shared" si="45"/>
        <v>176</v>
      </c>
      <c r="Y90" s="77">
        <f t="shared" si="45"/>
        <v>186.66666666666669</v>
      </c>
      <c r="Z90" s="16">
        <f t="shared" si="43"/>
        <v>262</v>
      </c>
      <c r="AC90" s="7" t="s">
        <v>11</v>
      </c>
      <c r="AD90" s="16">
        <v>151.46246789078108</v>
      </c>
      <c r="AE90" s="24">
        <f t="shared" si="40"/>
        <v>6.88465763139914</v>
      </c>
      <c r="AF90" s="65">
        <f t="shared" si="41"/>
        <v>1.1474429385665232</v>
      </c>
      <c r="AG90" s="30">
        <v>1</v>
      </c>
      <c r="AH90" s="51">
        <v>2</v>
      </c>
      <c r="AI90" s="8">
        <v>0</v>
      </c>
    </row>
    <row r="91" spans="1:35" ht="12.75">
      <c r="A91" s="7" t="s">
        <v>9</v>
      </c>
      <c r="B91" s="77">
        <f aca="true" t="shared" si="46" ref="B91:Y91">B7+B24+B42+B58+B75</f>
        <v>188</v>
      </c>
      <c r="C91" s="77">
        <f t="shared" si="46"/>
        <v>165</v>
      </c>
      <c r="D91" s="77">
        <f t="shared" si="46"/>
        <v>164</v>
      </c>
      <c r="E91" s="77">
        <f t="shared" si="46"/>
        <v>172</v>
      </c>
      <c r="F91" s="77">
        <f t="shared" si="46"/>
        <v>194</v>
      </c>
      <c r="G91" s="77">
        <f t="shared" si="46"/>
        <v>211</v>
      </c>
      <c r="H91" s="77">
        <f t="shared" si="46"/>
        <v>163</v>
      </c>
      <c r="I91" s="77">
        <f t="shared" si="46"/>
        <v>101</v>
      </c>
      <c r="J91" s="77">
        <f t="shared" si="46"/>
        <v>227</v>
      </c>
      <c r="K91" s="77">
        <f t="shared" si="46"/>
        <v>190</v>
      </c>
      <c r="L91" s="77">
        <f t="shared" si="46"/>
        <v>158</v>
      </c>
      <c r="M91" s="77">
        <f t="shared" si="46"/>
        <v>149</v>
      </c>
      <c r="N91" s="77">
        <f t="shared" si="46"/>
        <v>202</v>
      </c>
      <c r="O91" s="77">
        <f t="shared" si="46"/>
        <v>178</v>
      </c>
      <c r="P91" s="77">
        <f t="shared" si="46"/>
        <v>201</v>
      </c>
      <c r="Q91" s="77">
        <f t="shared" si="46"/>
        <v>184</v>
      </c>
      <c r="R91" s="77">
        <f t="shared" si="46"/>
        <v>203</v>
      </c>
      <c r="S91" s="77">
        <f t="shared" si="46"/>
        <v>170</v>
      </c>
      <c r="T91" s="77">
        <f t="shared" si="46"/>
        <v>200</v>
      </c>
      <c r="U91" s="77">
        <f t="shared" si="46"/>
        <v>130</v>
      </c>
      <c r="V91" s="77">
        <f t="shared" si="46"/>
        <v>202</v>
      </c>
      <c r="W91" s="77">
        <f t="shared" si="46"/>
        <v>177.33333333333334</v>
      </c>
      <c r="X91" s="77">
        <f t="shared" si="46"/>
        <v>169.77777777777777</v>
      </c>
      <c r="Y91" s="77">
        <f t="shared" si="46"/>
        <v>183.03703703703704</v>
      </c>
      <c r="Z91" s="16">
        <f t="shared" si="43"/>
        <v>227</v>
      </c>
      <c r="AC91" s="7" t="s">
        <v>13</v>
      </c>
      <c r="AD91" s="16">
        <v>128.74309770716394</v>
      </c>
      <c r="AE91" s="24">
        <f t="shared" si="40"/>
        <v>6.884657631399142</v>
      </c>
      <c r="AF91" s="65">
        <f t="shared" si="41"/>
        <v>1.1474429385665237</v>
      </c>
      <c r="AG91" s="30">
        <v>0.85</v>
      </c>
      <c r="AH91" s="51">
        <v>2</v>
      </c>
      <c r="AI91" s="8">
        <f>-AI87</f>
        <v>-0.15</v>
      </c>
    </row>
    <row r="92" spans="1:33" ht="12.75">
      <c r="A92" s="7" t="s">
        <v>11</v>
      </c>
      <c r="B92" s="77">
        <f aca="true" t="shared" si="47" ref="B92:Y92">B8+B25+B43+B59+B76</f>
        <v>140</v>
      </c>
      <c r="C92" s="77">
        <f t="shared" si="47"/>
        <v>109</v>
      </c>
      <c r="D92" s="77">
        <f t="shared" si="47"/>
        <v>111</v>
      </c>
      <c r="E92" s="77">
        <f t="shared" si="47"/>
        <v>86</v>
      </c>
      <c r="F92" s="77">
        <f t="shared" si="47"/>
        <v>83</v>
      </c>
      <c r="G92" s="77">
        <f t="shared" si="47"/>
        <v>78</v>
      </c>
      <c r="H92" s="77">
        <f t="shared" si="47"/>
        <v>67</v>
      </c>
      <c r="I92" s="77">
        <f t="shared" si="47"/>
        <v>42</v>
      </c>
      <c r="J92" s="77">
        <f t="shared" si="47"/>
        <v>99</v>
      </c>
      <c r="K92" s="77">
        <f t="shared" si="47"/>
        <v>100</v>
      </c>
      <c r="L92" s="77">
        <f t="shared" si="47"/>
        <v>72</v>
      </c>
      <c r="M92" s="77">
        <f t="shared" si="47"/>
        <v>54</v>
      </c>
      <c r="N92" s="77">
        <f t="shared" si="47"/>
        <v>76</v>
      </c>
      <c r="O92" s="77">
        <f t="shared" si="47"/>
        <v>71</v>
      </c>
      <c r="P92" s="77">
        <f t="shared" si="47"/>
        <v>81</v>
      </c>
      <c r="Q92" s="77">
        <f t="shared" si="47"/>
        <v>77</v>
      </c>
      <c r="R92" s="77">
        <f t="shared" si="47"/>
        <v>90</v>
      </c>
      <c r="S92" s="77">
        <f t="shared" si="47"/>
        <v>99</v>
      </c>
      <c r="T92" s="77">
        <f t="shared" si="47"/>
        <v>84</v>
      </c>
      <c r="U92" s="77">
        <f t="shared" si="47"/>
        <v>35</v>
      </c>
      <c r="V92" s="77">
        <f t="shared" si="47"/>
        <v>72</v>
      </c>
      <c r="W92" s="77">
        <f t="shared" si="47"/>
        <v>63.666666666666664</v>
      </c>
      <c r="X92" s="77">
        <f t="shared" si="47"/>
        <v>56.88888888888889</v>
      </c>
      <c r="Y92" s="77">
        <f t="shared" si="47"/>
        <v>64.18518518518519</v>
      </c>
      <c r="Z92" s="16">
        <f t="shared" si="43"/>
        <v>140</v>
      </c>
      <c r="AG92" s="30">
        <f>SUM(AG86:AG91)</f>
        <v>9</v>
      </c>
    </row>
    <row r="93" spans="1:26" ht="12.75">
      <c r="A93" s="7" t="s">
        <v>13</v>
      </c>
      <c r="B93" s="77">
        <f aca="true" t="shared" si="48" ref="B93:Y93">B9+B26+B44+B60+B77</f>
        <v>93</v>
      </c>
      <c r="C93" s="77">
        <f t="shared" si="48"/>
        <v>75</v>
      </c>
      <c r="D93" s="77">
        <f t="shared" si="48"/>
        <v>96</v>
      </c>
      <c r="E93" s="77">
        <f t="shared" si="48"/>
        <v>58</v>
      </c>
      <c r="F93" s="77">
        <f t="shared" si="48"/>
        <v>70</v>
      </c>
      <c r="G93" s="77">
        <f t="shared" si="48"/>
        <v>86</v>
      </c>
      <c r="H93" s="77">
        <f t="shared" si="48"/>
        <v>112</v>
      </c>
      <c r="I93" s="77">
        <f t="shared" si="48"/>
        <v>65</v>
      </c>
      <c r="J93" s="77">
        <f t="shared" si="48"/>
        <v>100</v>
      </c>
      <c r="K93" s="77">
        <f t="shared" si="48"/>
        <v>78</v>
      </c>
      <c r="L93" s="77">
        <f t="shared" si="48"/>
        <v>66</v>
      </c>
      <c r="M93" s="77">
        <f t="shared" si="48"/>
        <v>53</v>
      </c>
      <c r="N93" s="77">
        <f t="shared" si="48"/>
        <v>107</v>
      </c>
      <c r="O93" s="77">
        <f t="shared" si="48"/>
        <v>92</v>
      </c>
      <c r="P93" s="77">
        <f t="shared" si="48"/>
        <v>81</v>
      </c>
      <c r="Q93" s="77">
        <f t="shared" si="48"/>
        <v>79</v>
      </c>
      <c r="R93" s="77">
        <f t="shared" si="48"/>
        <v>87</v>
      </c>
      <c r="S93" s="77">
        <f t="shared" si="48"/>
        <v>53</v>
      </c>
      <c r="T93" s="77">
        <f t="shared" si="48"/>
        <v>119</v>
      </c>
      <c r="U93" s="77">
        <f t="shared" si="48"/>
        <v>57</v>
      </c>
      <c r="V93" s="77">
        <f t="shared" si="48"/>
        <v>92</v>
      </c>
      <c r="W93" s="77">
        <f t="shared" si="48"/>
        <v>89.33333333333331</v>
      </c>
      <c r="X93" s="77">
        <f t="shared" si="48"/>
        <v>79.44444444444444</v>
      </c>
      <c r="Y93" s="77">
        <f t="shared" si="48"/>
        <v>86.92592592592592</v>
      </c>
      <c r="Z93" s="16">
        <f t="shared" si="43"/>
        <v>119</v>
      </c>
    </row>
    <row r="94" spans="23:29" ht="12.75">
      <c r="W94"/>
      <c r="X94"/>
      <c r="Y94"/>
      <c r="AC94" s="90" t="s">
        <v>160</v>
      </c>
    </row>
    <row r="95" spans="23:35" ht="12.75">
      <c r="W95"/>
      <c r="X95"/>
      <c r="Y95"/>
      <c r="AC95" s="72" t="s">
        <v>0</v>
      </c>
      <c r="AD95" s="72" t="s">
        <v>110</v>
      </c>
      <c r="AE95" s="72" t="s">
        <v>120</v>
      </c>
      <c r="AF95" s="72" t="s">
        <v>147</v>
      </c>
      <c r="AG95" s="72" t="s">
        <v>119</v>
      </c>
      <c r="AH95" s="72" t="s">
        <v>111</v>
      </c>
      <c r="AI95" s="53" t="s">
        <v>106</v>
      </c>
    </row>
    <row r="96" spans="23:35" ht="12.75">
      <c r="W96"/>
      <c r="X96"/>
      <c r="Y96"/>
      <c r="AC96" s="7" t="s">
        <v>2</v>
      </c>
      <c r="AD96" s="16">
        <v>218.53870367098415</v>
      </c>
      <c r="AE96" s="24">
        <f aca="true" t="shared" si="49" ref="AE96:AE101">AD96/AG96/22</f>
        <v>4.966788719795094</v>
      </c>
      <c r="AF96" s="65">
        <f aca="true" t="shared" si="50" ref="AF96:AF101">AE96/6</f>
        <v>0.827798119965849</v>
      </c>
      <c r="AG96" s="30">
        <v>2</v>
      </c>
      <c r="AH96" s="51">
        <v>4</v>
      </c>
      <c r="AI96" s="8">
        <v>0</v>
      </c>
    </row>
    <row r="97" spans="22:37" ht="12.75">
      <c r="V97" s="15"/>
      <c r="Y97"/>
      <c r="AC97" s="7" t="s">
        <v>5</v>
      </c>
      <c r="AD97" s="16">
        <v>167.69058945050764</v>
      </c>
      <c r="AE97" s="24">
        <f t="shared" si="49"/>
        <v>6.628086539545757</v>
      </c>
      <c r="AF97" s="65">
        <f t="shared" si="50"/>
        <v>1.104681089924293</v>
      </c>
      <c r="AG97" s="30">
        <v>1.15</v>
      </c>
      <c r="AH97" s="51">
        <v>3</v>
      </c>
      <c r="AI97" s="8">
        <v>0.15</v>
      </c>
      <c r="AJ97" s="205">
        <f>(AF96+AF100)/2</f>
        <v>0.9876205292661862</v>
      </c>
      <c r="AK97" s="206" t="s">
        <v>152</v>
      </c>
    </row>
    <row r="98" spans="1:3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163"/>
      <c r="O98" s="163"/>
      <c r="P98" s="163"/>
      <c r="Q98" s="163"/>
      <c r="R98" s="163"/>
      <c r="S98" s="163"/>
      <c r="T98" s="163"/>
      <c r="U98" s="163"/>
      <c r="V98" s="163"/>
      <c r="W98" s="164"/>
      <c r="X98" s="164"/>
      <c r="Y98" s="164"/>
      <c r="AC98" s="7" t="s">
        <v>7</v>
      </c>
      <c r="AD98" s="16">
        <v>283.45118990989033</v>
      </c>
      <c r="AE98" s="24">
        <f t="shared" si="49"/>
        <v>6.442072497952053</v>
      </c>
      <c r="AF98" s="65">
        <f t="shared" si="50"/>
        <v>1.0736787496586755</v>
      </c>
      <c r="AG98" s="30">
        <v>2</v>
      </c>
      <c r="AH98" s="51">
        <v>3</v>
      </c>
      <c r="AI98" s="8">
        <v>0</v>
      </c>
      <c r="AJ98" s="205">
        <f>(AF97+AF101)/2</f>
        <v>1.1260620142454083</v>
      </c>
      <c r="AK98" s="206" t="s">
        <v>153</v>
      </c>
    </row>
    <row r="99" spans="1:37" ht="12.75">
      <c r="A99" s="22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AC99" s="7" t="s">
        <v>9</v>
      </c>
      <c r="AD99" s="16">
        <v>245.58557293719505</v>
      </c>
      <c r="AE99" s="24">
        <f t="shared" si="49"/>
        <v>5.5814902940271605</v>
      </c>
      <c r="AF99" s="65">
        <f t="shared" si="50"/>
        <v>0.9302483823378601</v>
      </c>
      <c r="AG99" s="30">
        <v>2</v>
      </c>
      <c r="AH99" s="51">
        <v>4</v>
      </c>
      <c r="AI99" s="8">
        <v>0</v>
      </c>
      <c r="AJ99" s="205">
        <f>(AF98+AF99)/2</f>
        <v>1.0019635659982677</v>
      </c>
      <c r="AK99" s="206" t="s">
        <v>154</v>
      </c>
    </row>
    <row r="100" spans="1:35" ht="12.75">
      <c r="A100" s="22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AC100" s="7" t="s">
        <v>11</v>
      </c>
      <c r="AD100" s="16">
        <v>151.46246789078108</v>
      </c>
      <c r="AE100" s="24">
        <f t="shared" si="49"/>
        <v>6.88465763139914</v>
      </c>
      <c r="AF100" s="65">
        <f t="shared" si="50"/>
        <v>1.1474429385665232</v>
      </c>
      <c r="AG100" s="30">
        <v>1</v>
      </c>
      <c r="AH100" s="51">
        <v>2</v>
      </c>
      <c r="AI100" s="8">
        <v>0</v>
      </c>
    </row>
    <row r="101" spans="1:35" ht="12.75">
      <c r="A101" s="22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AC101" s="7" t="s">
        <v>13</v>
      </c>
      <c r="AD101" s="16">
        <v>128.74309770716394</v>
      </c>
      <c r="AE101" s="24">
        <f t="shared" si="49"/>
        <v>6.884657631399142</v>
      </c>
      <c r="AF101" s="65">
        <f t="shared" si="50"/>
        <v>1.1474429385665237</v>
      </c>
      <c r="AG101" s="30">
        <v>0.85</v>
      </c>
      <c r="AH101" s="51">
        <v>2</v>
      </c>
      <c r="AI101" s="8">
        <f>-AI97</f>
        <v>-0.15</v>
      </c>
    </row>
    <row r="102" spans="1:33" ht="12.75">
      <c r="A102" s="22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AG102" s="30">
        <f>SUM(AG96:AG101)</f>
        <v>9</v>
      </c>
    </row>
    <row r="103" spans="1:25" ht="12.75">
      <c r="A103" s="22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</row>
    <row r="104" spans="1:29" ht="12.75">
      <c r="A104" s="22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AC104" s="90" t="s">
        <v>159</v>
      </c>
    </row>
    <row r="105" spans="29:35" ht="12.75">
      <c r="AC105" s="72" t="s">
        <v>0</v>
      </c>
      <c r="AD105" s="72" t="s">
        <v>110</v>
      </c>
      <c r="AE105" s="72" t="s">
        <v>120</v>
      </c>
      <c r="AF105" s="72" t="s">
        <v>147</v>
      </c>
      <c r="AG105" s="72" t="s">
        <v>119</v>
      </c>
      <c r="AH105" s="72" t="s">
        <v>111</v>
      </c>
      <c r="AI105" s="53" t="s">
        <v>106</v>
      </c>
    </row>
    <row r="106" spans="29:35" ht="12.75">
      <c r="AC106" s="7" t="s">
        <v>2</v>
      </c>
      <c r="AD106" s="16">
        <v>235.0774073419683</v>
      </c>
      <c r="AE106" s="24">
        <f aca="true" t="shared" si="51" ref="AE106:AE111">AD106/AG106/22</f>
        <v>5.342668348681098</v>
      </c>
      <c r="AF106" s="65">
        <f aca="true" t="shared" si="52" ref="AF106:AF111">AE106/6</f>
        <v>0.890444724780183</v>
      </c>
      <c r="AG106" s="30">
        <v>2</v>
      </c>
      <c r="AH106" s="51">
        <v>4</v>
      </c>
      <c r="AI106" s="8">
        <v>0</v>
      </c>
    </row>
    <row r="107" spans="29:37" ht="12.75">
      <c r="AC107" s="7" t="s">
        <v>5</v>
      </c>
      <c r="AD107" s="16">
        <v>180.3811789010153</v>
      </c>
      <c r="AE107" s="24">
        <f t="shared" si="51"/>
        <v>7.129690865652779</v>
      </c>
      <c r="AF107" s="65">
        <f t="shared" si="52"/>
        <v>1.1882818109421298</v>
      </c>
      <c r="AG107" s="30">
        <v>1.15</v>
      </c>
      <c r="AH107" s="51">
        <v>3</v>
      </c>
      <c r="AI107" s="8">
        <v>0.15</v>
      </c>
      <c r="AJ107" s="205">
        <f>(AF106+AF110)/2</f>
        <v>1.0623622706535847</v>
      </c>
      <c r="AK107" s="206" t="s">
        <v>152</v>
      </c>
    </row>
    <row r="108" spans="29:37" ht="12.75">
      <c r="AC108" s="7" t="s">
        <v>7</v>
      </c>
      <c r="AD108" s="16">
        <v>304.90237981978066</v>
      </c>
      <c r="AE108" s="24">
        <f t="shared" si="51"/>
        <v>6.929599541358652</v>
      </c>
      <c r="AF108" s="65">
        <f t="shared" si="52"/>
        <v>1.1549332568931086</v>
      </c>
      <c r="AG108" s="30">
        <v>2</v>
      </c>
      <c r="AH108" s="51">
        <v>3</v>
      </c>
      <c r="AI108" s="8">
        <v>0</v>
      </c>
      <c r="AJ108" s="205">
        <f>(AF107+AF111)/2</f>
        <v>1.211280813734558</v>
      </c>
      <c r="AK108" s="206" t="s">
        <v>153</v>
      </c>
    </row>
    <row r="109" spans="29:37" ht="12.75">
      <c r="AC109" s="7" t="s">
        <v>9</v>
      </c>
      <c r="AD109" s="16">
        <v>264.1711458743901</v>
      </c>
      <c r="AE109" s="24">
        <f t="shared" si="51"/>
        <v>6.003889678963412</v>
      </c>
      <c r="AF109" s="65">
        <f t="shared" si="52"/>
        <v>1.0006482798272354</v>
      </c>
      <c r="AG109" s="30">
        <v>2</v>
      </c>
      <c r="AH109" s="51">
        <v>4</v>
      </c>
      <c r="AI109" s="8">
        <v>0</v>
      </c>
      <c r="AJ109" s="205">
        <f>(AF108+AF109)/2</f>
        <v>1.077790768360172</v>
      </c>
      <c r="AK109" s="206" t="s">
        <v>154</v>
      </c>
    </row>
    <row r="110" spans="29:35" ht="12.75">
      <c r="AC110" s="7" t="s">
        <v>11</v>
      </c>
      <c r="AD110" s="16">
        <v>162.9249357815622</v>
      </c>
      <c r="AE110" s="24">
        <f t="shared" si="51"/>
        <v>7.405678899161918</v>
      </c>
      <c r="AF110" s="65">
        <f t="shared" si="52"/>
        <v>1.2342798165269864</v>
      </c>
      <c r="AG110" s="30">
        <v>1</v>
      </c>
      <c r="AH110" s="51">
        <v>2</v>
      </c>
      <c r="AI110" s="8">
        <v>0</v>
      </c>
    </row>
    <row r="111" spans="29:35" ht="12.75">
      <c r="AC111" s="7" t="s">
        <v>13</v>
      </c>
      <c r="AD111" s="16">
        <v>138.48619541432785</v>
      </c>
      <c r="AE111" s="24">
        <f t="shared" si="51"/>
        <v>7.405678899161918</v>
      </c>
      <c r="AF111" s="65">
        <f t="shared" si="52"/>
        <v>1.2342798165269864</v>
      </c>
      <c r="AG111" s="30">
        <v>0.85</v>
      </c>
      <c r="AH111" s="51">
        <v>2</v>
      </c>
      <c r="AI111" s="8">
        <f>-AI107</f>
        <v>-0.15</v>
      </c>
    </row>
    <row r="112" ht="12.75">
      <c r="AG112" s="30">
        <f>SUM(AG106:AG111)</f>
        <v>9</v>
      </c>
    </row>
    <row r="114" ht="12.75">
      <c r="AC114" s="90" t="s">
        <v>161</v>
      </c>
    </row>
    <row r="115" spans="29:35" ht="12.75">
      <c r="AC115" s="72" t="s">
        <v>0</v>
      </c>
      <c r="AD115" s="72" t="s">
        <v>110</v>
      </c>
      <c r="AE115" s="72" t="s">
        <v>120</v>
      </c>
      <c r="AF115" s="72" t="s">
        <v>147</v>
      </c>
      <c r="AG115" s="72" t="s">
        <v>119</v>
      </c>
      <c r="AH115" s="72" t="s">
        <v>111</v>
      </c>
      <c r="AI115" s="53" t="s">
        <v>106</v>
      </c>
    </row>
    <row r="116" spans="29:35" ht="12.75">
      <c r="AC116" s="7" t="s">
        <v>2</v>
      </c>
      <c r="AD116" s="16">
        <v>202</v>
      </c>
      <c r="AE116" s="24">
        <f aca="true" t="shared" si="53" ref="AE116:AE121">AD116/AG116/22</f>
        <v>4.590909090909091</v>
      </c>
      <c r="AF116" s="65">
        <f aca="true" t="shared" si="54" ref="AF116:AF121">AE116/6</f>
        <v>0.7651515151515151</v>
      </c>
      <c r="AG116" s="30">
        <v>2</v>
      </c>
      <c r="AH116" s="51">
        <v>4</v>
      </c>
      <c r="AI116" s="207"/>
    </row>
    <row r="117" spans="29:37" ht="12.75">
      <c r="AC117" s="7" t="s">
        <v>5</v>
      </c>
      <c r="AD117" s="16">
        <v>155</v>
      </c>
      <c r="AE117" s="24">
        <f t="shared" si="53"/>
        <v>3.522727272727273</v>
      </c>
      <c r="AF117" s="65">
        <f t="shared" si="54"/>
        <v>0.5871212121212122</v>
      </c>
      <c r="AG117" s="30">
        <v>2</v>
      </c>
      <c r="AH117" s="51">
        <v>3</v>
      </c>
      <c r="AI117" s="160"/>
      <c r="AJ117" s="205">
        <f>(AF116+AF120)/2</f>
        <v>0.6477272727272727</v>
      </c>
      <c r="AK117" s="206" t="s">
        <v>152</v>
      </c>
    </row>
    <row r="118" spans="29:37" ht="12.75">
      <c r="AC118" s="7" t="s">
        <v>7</v>
      </c>
      <c r="AD118" s="16">
        <v>262</v>
      </c>
      <c r="AE118" s="24">
        <f t="shared" si="53"/>
        <v>3.9696969696969693</v>
      </c>
      <c r="AF118" s="65">
        <f t="shared" si="54"/>
        <v>0.6616161616161615</v>
      </c>
      <c r="AG118" s="30">
        <v>3</v>
      </c>
      <c r="AH118" s="51">
        <v>3</v>
      </c>
      <c r="AI118" s="161"/>
      <c r="AJ118" s="205">
        <f>(AF117+AF121)/2</f>
        <v>0.7443181818181819</v>
      </c>
      <c r="AK118" s="206" t="s">
        <v>153</v>
      </c>
    </row>
    <row r="119" spans="29:37" ht="12.75">
      <c r="AC119" s="7" t="s">
        <v>9</v>
      </c>
      <c r="AD119" s="16">
        <v>227</v>
      </c>
      <c r="AE119" s="24">
        <f t="shared" si="53"/>
        <v>5.159090909090909</v>
      </c>
      <c r="AF119" s="65">
        <f t="shared" si="54"/>
        <v>0.8598484848484849</v>
      </c>
      <c r="AG119" s="30">
        <v>2</v>
      </c>
      <c r="AH119" s="51">
        <v>4</v>
      </c>
      <c r="AI119" s="162"/>
      <c r="AJ119" s="205">
        <f>(AF118+AF119)/2</f>
        <v>0.7607323232323232</v>
      </c>
      <c r="AK119" s="206" t="s">
        <v>154</v>
      </c>
    </row>
    <row r="120" spans="29:35" ht="12.75">
      <c r="AC120" s="7" t="s">
        <v>11</v>
      </c>
      <c r="AD120" s="16">
        <v>140</v>
      </c>
      <c r="AE120" s="24">
        <f t="shared" si="53"/>
        <v>3.1818181818181817</v>
      </c>
      <c r="AF120" s="65">
        <f t="shared" si="54"/>
        <v>0.5303030303030303</v>
      </c>
      <c r="AG120" s="30">
        <v>2</v>
      </c>
      <c r="AH120" s="51">
        <v>2</v>
      </c>
      <c r="AI120" s="165"/>
    </row>
    <row r="121" spans="29:35" ht="12.75">
      <c r="AC121" s="7" t="s">
        <v>13</v>
      </c>
      <c r="AD121" s="16">
        <v>119</v>
      </c>
      <c r="AE121" s="24">
        <f t="shared" si="53"/>
        <v>5.409090909090909</v>
      </c>
      <c r="AF121" s="65">
        <f t="shared" si="54"/>
        <v>0.9015151515151515</v>
      </c>
      <c r="AG121" s="30">
        <v>1</v>
      </c>
      <c r="AH121" s="51">
        <v>2</v>
      </c>
      <c r="AI121" s="162"/>
    </row>
    <row r="122" ht="12.75">
      <c r="AG122" s="30">
        <f>SUM(AG116:AG121)</f>
        <v>12</v>
      </c>
    </row>
    <row r="124" ht="12.75">
      <c r="AC124" s="90" t="s">
        <v>162</v>
      </c>
    </row>
    <row r="125" spans="29:35" ht="12.75">
      <c r="AC125" s="72" t="s">
        <v>0</v>
      </c>
      <c r="AD125" s="72" t="s">
        <v>110</v>
      </c>
      <c r="AE125" s="72" t="s">
        <v>120</v>
      </c>
      <c r="AF125" s="72" t="s">
        <v>147</v>
      </c>
      <c r="AG125" s="72" t="s">
        <v>119</v>
      </c>
      <c r="AH125" s="72" t="s">
        <v>111</v>
      </c>
      <c r="AI125" s="53" t="s">
        <v>106</v>
      </c>
    </row>
    <row r="126" spans="29:35" ht="12.75">
      <c r="AC126" s="7" t="s">
        <v>2</v>
      </c>
      <c r="AD126" s="16">
        <v>218.53870367098415</v>
      </c>
      <c r="AE126" s="24">
        <f aca="true" t="shared" si="55" ref="AE126:AE131">AD126/AG126/22</f>
        <v>4.966788719795094</v>
      </c>
      <c r="AF126" s="65">
        <f aca="true" t="shared" si="56" ref="AF126:AF131">AE126/6</f>
        <v>0.827798119965849</v>
      </c>
      <c r="AG126" s="30">
        <v>2</v>
      </c>
      <c r="AH126" s="51">
        <v>4</v>
      </c>
      <c r="AI126" s="208"/>
    </row>
    <row r="127" spans="29:37" ht="12.75">
      <c r="AC127" s="7" t="s">
        <v>5</v>
      </c>
      <c r="AD127" s="16">
        <v>167.69058945050764</v>
      </c>
      <c r="AE127" s="24">
        <f t="shared" si="55"/>
        <v>3.81114976023881</v>
      </c>
      <c r="AF127" s="65">
        <f t="shared" si="56"/>
        <v>0.6351916267064683</v>
      </c>
      <c r="AG127" s="30">
        <v>2</v>
      </c>
      <c r="AH127" s="51">
        <v>3</v>
      </c>
      <c r="AI127" s="208"/>
      <c r="AJ127" s="205">
        <f>(AF126+AF130)/2</f>
        <v>0.7007597946245553</v>
      </c>
      <c r="AK127" s="206" t="s">
        <v>152</v>
      </c>
    </row>
    <row r="128" spans="29:37" ht="12.75">
      <c r="AC128" s="7" t="s">
        <v>7</v>
      </c>
      <c r="AD128" s="16">
        <v>283.45118990989033</v>
      </c>
      <c r="AE128" s="24">
        <f t="shared" si="55"/>
        <v>4.294714998634702</v>
      </c>
      <c r="AF128" s="65">
        <f t="shared" si="56"/>
        <v>0.7157858331057837</v>
      </c>
      <c r="AG128" s="30">
        <v>3</v>
      </c>
      <c r="AH128" s="51">
        <v>3</v>
      </c>
      <c r="AI128" s="45"/>
      <c r="AJ128" s="205">
        <f>(AF127+AF131)/2</f>
        <v>0.8052590622440066</v>
      </c>
      <c r="AK128" s="206" t="s">
        <v>153</v>
      </c>
    </row>
    <row r="129" spans="29:37" ht="12.75">
      <c r="AC129" s="7" t="s">
        <v>9</v>
      </c>
      <c r="AD129" s="16">
        <v>245.58557293719505</v>
      </c>
      <c r="AE129" s="24">
        <f t="shared" si="55"/>
        <v>5.5814902940271605</v>
      </c>
      <c r="AF129" s="65">
        <f t="shared" si="56"/>
        <v>0.9302483823378601</v>
      </c>
      <c r="AG129" s="30">
        <v>2</v>
      </c>
      <c r="AH129" s="51">
        <v>4</v>
      </c>
      <c r="AI129" s="209"/>
      <c r="AJ129" s="205">
        <f>(AF128+AF129)/2</f>
        <v>0.8230171077218219</v>
      </c>
      <c r="AK129" s="206" t="s">
        <v>154</v>
      </c>
    </row>
    <row r="130" spans="29:35" ht="12.75">
      <c r="AC130" s="7" t="s">
        <v>11</v>
      </c>
      <c r="AD130" s="16">
        <v>151.46246789078108</v>
      </c>
      <c r="AE130" s="24">
        <f t="shared" si="55"/>
        <v>3.44232881569957</v>
      </c>
      <c r="AF130" s="65">
        <f t="shared" si="56"/>
        <v>0.5737214692832616</v>
      </c>
      <c r="AG130" s="30">
        <v>2</v>
      </c>
      <c r="AH130" s="51">
        <v>2</v>
      </c>
      <c r="AI130" s="209"/>
    </row>
    <row r="131" spans="29:35" ht="12.75">
      <c r="AC131" s="7" t="s">
        <v>13</v>
      </c>
      <c r="AD131" s="16">
        <v>128.74309770716394</v>
      </c>
      <c r="AE131" s="24">
        <f t="shared" si="55"/>
        <v>5.85195898668927</v>
      </c>
      <c r="AF131" s="65">
        <f t="shared" si="56"/>
        <v>0.9753264977815449</v>
      </c>
      <c r="AG131" s="30">
        <v>1</v>
      </c>
      <c r="AH131" s="51">
        <v>2</v>
      </c>
      <c r="AI131" s="209"/>
    </row>
    <row r="132" ht="12.75">
      <c r="AG132" s="30">
        <f>SUM(AG126:AG131)</f>
        <v>12</v>
      </c>
    </row>
    <row r="133" ht="12.75">
      <c r="AG133" s="74"/>
    </row>
    <row r="134" ht="12.75">
      <c r="AC134" s="90" t="s">
        <v>163</v>
      </c>
    </row>
    <row r="135" spans="29:35" ht="12.75">
      <c r="AC135" s="72" t="s">
        <v>0</v>
      </c>
      <c r="AD135" s="72" t="s">
        <v>110</v>
      </c>
      <c r="AE135" s="72" t="s">
        <v>120</v>
      </c>
      <c r="AF135" s="72" t="s">
        <v>147</v>
      </c>
      <c r="AG135" s="72" t="s">
        <v>119</v>
      </c>
      <c r="AH135" s="72" t="s">
        <v>111</v>
      </c>
      <c r="AI135" s="53" t="s">
        <v>106</v>
      </c>
    </row>
    <row r="136" spans="29:35" ht="12.75">
      <c r="AC136" s="7" t="s">
        <v>2</v>
      </c>
      <c r="AD136" s="16">
        <v>235.0774073419683</v>
      </c>
      <c r="AE136" s="24">
        <f aca="true" t="shared" si="57" ref="AE136:AE141">AD136/AG136/22</f>
        <v>5.342668348681098</v>
      </c>
      <c r="AF136" s="65">
        <f aca="true" t="shared" si="58" ref="AF136:AF141">AE136/6</f>
        <v>0.890444724780183</v>
      </c>
      <c r="AG136" s="30">
        <v>2</v>
      </c>
      <c r="AH136" s="51">
        <v>4</v>
      </c>
      <c r="AI136" s="208"/>
    </row>
    <row r="137" spans="29:37" ht="12.75">
      <c r="AC137" s="7" t="s">
        <v>5</v>
      </c>
      <c r="AD137" s="16">
        <v>180.3811789010153</v>
      </c>
      <c r="AE137" s="24">
        <f t="shared" si="57"/>
        <v>4.555080275278164</v>
      </c>
      <c r="AF137" s="65">
        <f t="shared" si="58"/>
        <v>0.759180045879694</v>
      </c>
      <c r="AG137" s="30">
        <v>1.8</v>
      </c>
      <c r="AH137" s="51">
        <v>3</v>
      </c>
      <c r="AI137" s="208">
        <v>-0.2</v>
      </c>
      <c r="AJ137" s="205">
        <f>(AF136+AF140)/2</f>
        <v>0.7537923165218381</v>
      </c>
      <c r="AK137" s="206" t="s">
        <v>152</v>
      </c>
    </row>
    <row r="138" spans="29:37" ht="12.75">
      <c r="AC138" s="7" t="s">
        <v>7</v>
      </c>
      <c r="AD138" s="16">
        <v>304.90237981978066</v>
      </c>
      <c r="AE138" s="24">
        <f t="shared" si="57"/>
        <v>4.949713958113322</v>
      </c>
      <c r="AF138" s="65">
        <f t="shared" si="58"/>
        <v>0.8249523263522204</v>
      </c>
      <c r="AG138" s="30">
        <v>2.8</v>
      </c>
      <c r="AH138" s="51">
        <v>3</v>
      </c>
      <c r="AI138" s="208">
        <v>-0.2</v>
      </c>
      <c r="AJ138" s="205">
        <f>(AF137+AF141)/2</f>
        <v>0.8167307912931545</v>
      </c>
      <c r="AK138" s="206" t="s">
        <v>153</v>
      </c>
    </row>
    <row r="139" spans="29:37" ht="12.75">
      <c r="AC139" s="7" t="s">
        <v>9</v>
      </c>
      <c r="AD139" s="16">
        <v>264.1711458743901</v>
      </c>
      <c r="AE139" s="24">
        <f t="shared" si="57"/>
        <v>5.458081526330374</v>
      </c>
      <c r="AF139" s="65">
        <f t="shared" si="58"/>
        <v>0.9096802543883956</v>
      </c>
      <c r="AG139" s="30">
        <v>2.2</v>
      </c>
      <c r="AH139" s="51">
        <v>4</v>
      </c>
      <c r="AI139" s="209">
        <f>-AI138</f>
        <v>0.2</v>
      </c>
      <c r="AJ139" s="205">
        <f>(AF138+AF139)/2</f>
        <v>0.867316290370308</v>
      </c>
      <c r="AK139" s="206" t="s">
        <v>154</v>
      </c>
    </row>
    <row r="140" spans="29:35" ht="12.75">
      <c r="AC140" s="7" t="s">
        <v>11</v>
      </c>
      <c r="AD140" s="16">
        <v>162.9249357815622</v>
      </c>
      <c r="AE140" s="24">
        <f t="shared" si="57"/>
        <v>3.702839449580959</v>
      </c>
      <c r="AF140" s="65">
        <f t="shared" si="58"/>
        <v>0.6171399082634932</v>
      </c>
      <c r="AG140" s="30">
        <v>2</v>
      </c>
      <c r="AH140" s="51">
        <v>2</v>
      </c>
      <c r="AI140" s="209"/>
    </row>
    <row r="141" spans="29:35" ht="12.75">
      <c r="AC141" s="7" t="s">
        <v>13</v>
      </c>
      <c r="AD141" s="16">
        <v>138.48619541432785</v>
      </c>
      <c r="AE141" s="24">
        <f t="shared" si="57"/>
        <v>5.245689220239691</v>
      </c>
      <c r="AF141" s="65">
        <f t="shared" si="58"/>
        <v>0.8742815367066151</v>
      </c>
      <c r="AG141" s="30">
        <v>1.2</v>
      </c>
      <c r="AH141" s="51">
        <v>2</v>
      </c>
      <c r="AI141" s="209">
        <f>-AI137</f>
        <v>0.2</v>
      </c>
    </row>
    <row r="142" ht="12.75">
      <c r="AG142" s="30">
        <f>SUM(AG136:AG141)</f>
        <v>12</v>
      </c>
    </row>
    <row r="145" ht="12.75">
      <c r="AC145" s="90" t="s">
        <v>164</v>
      </c>
    </row>
    <row r="146" spans="29:35" ht="12.75">
      <c r="AC146" s="72" t="s">
        <v>0</v>
      </c>
      <c r="AD146" s="72" t="s">
        <v>110</v>
      </c>
      <c r="AE146" s="72" t="s">
        <v>120</v>
      </c>
      <c r="AF146" s="72" t="s">
        <v>147</v>
      </c>
      <c r="AG146" s="72" t="s">
        <v>119</v>
      </c>
      <c r="AH146" s="72" t="s">
        <v>111</v>
      </c>
      <c r="AI146" s="53" t="s">
        <v>106</v>
      </c>
    </row>
    <row r="147" spans="29:35" ht="12.75">
      <c r="AC147" s="7" t="s">
        <v>2</v>
      </c>
      <c r="AD147" s="16">
        <v>202</v>
      </c>
      <c r="AE147" s="24">
        <f aca="true" t="shared" si="59" ref="AE147:AE152">AD147/AG147/22</f>
        <v>4.590909090909091</v>
      </c>
      <c r="AF147" s="65">
        <f aca="true" t="shared" si="60" ref="AF147:AF152">AE147/6</f>
        <v>0.7651515151515151</v>
      </c>
      <c r="AG147" s="30">
        <v>2</v>
      </c>
      <c r="AH147" s="51">
        <v>4</v>
      </c>
      <c r="AI147" s="207"/>
    </row>
    <row r="148" spans="29:37" ht="12.75">
      <c r="AC148" s="7" t="s">
        <v>5</v>
      </c>
      <c r="AD148" s="16">
        <v>155</v>
      </c>
      <c r="AE148" s="24">
        <f t="shared" si="59"/>
        <v>3.522727272727273</v>
      </c>
      <c r="AF148" s="65">
        <f t="shared" si="60"/>
        <v>0.5871212121212122</v>
      </c>
      <c r="AG148" s="30">
        <v>2</v>
      </c>
      <c r="AH148" s="51">
        <v>3</v>
      </c>
      <c r="AI148" s="160"/>
      <c r="AJ148" s="205">
        <f>(AF147+AF151)/2</f>
        <v>0.9128787878787878</v>
      </c>
      <c r="AK148" s="206" t="s">
        <v>152</v>
      </c>
    </row>
    <row r="149" spans="29:37" ht="12.75">
      <c r="AC149" s="7" t="s">
        <v>7</v>
      </c>
      <c r="AD149" s="16">
        <v>262</v>
      </c>
      <c r="AE149" s="24">
        <f t="shared" si="59"/>
        <v>3.9696969696969693</v>
      </c>
      <c r="AF149" s="65">
        <f t="shared" si="60"/>
        <v>0.6616161616161615</v>
      </c>
      <c r="AG149" s="30">
        <v>3</v>
      </c>
      <c r="AH149" s="51">
        <v>3</v>
      </c>
      <c r="AI149" s="161"/>
      <c r="AJ149" s="205">
        <f>(AF148+AF152)/2</f>
        <v>0.7443181818181819</v>
      </c>
      <c r="AK149" s="206" t="s">
        <v>153</v>
      </c>
    </row>
    <row r="150" spans="29:37" ht="12.75">
      <c r="AC150" s="7" t="s">
        <v>9</v>
      </c>
      <c r="AD150" s="16">
        <v>227</v>
      </c>
      <c r="AE150" s="24">
        <f t="shared" si="59"/>
        <v>5.159090909090909</v>
      </c>
      <c r="AF150" s="65">
        <f t="shared" si="60"/>
        <v>0.8598484848484849</v>
      </c>
      <c r="AG150" s="30">
        <v>2</v>
      </c>
      <c r="AH150" s="51">
        <v>4</v>
      </c>
      <c r="AI150" s="162"/>
      <c r="AJ150" s="205">
        <f>(AF149+AF150)/2</f>
        <v>0.7607323232323232</v>
      </c>
      <c r="AK150" s="206" t="s">
        <v>154</v>
      </c>
    </row>
    <row r="151" spans="29:35" ht="12.75">
      <c r="AC151" s="7" t="s">
        <v>11</v>
      </c>
      <c r="AD151" s="16">
        <v>140</v>
      </c>
      <c r="AE151" s="24">
        <f t="shared" si="59"/>
        <v>6.363636363636363</v>
      </c>
      <c r="AF151" s="65">
        <f t="shared" si="60"/>
        <v>1.0606060606060606</v>
      </c>
      <c r="AG151" s="30">
        <v>1</v>
      </c>
      <c r="AH151" s="51">
        <v>2</v>
      </c>
      <c r="AI151" s="165"/>
    </row>
    <row r="152" spans="29:35" ht="12.75">
      <c r="AC152" s="7" t="s">
        <v>13</v>
      </c>
      <c r="AD152" s="16">
        <v>119</v>
      </c>
      <c r="AE152" s="24">
        <f t="shared" si="59"/>
        <v>5.409090909090909</v>
      </c>
      <c r="AF152" s="65">
        <f t="shared" si="60"/>
        <v>0.9015151515151515</v>
      </c>
      <c r="AG152" s="30">
        <v>1</v>
      </c>
      <c r="AH152" s="51">
        <v>2</v>
      </c>
      <c r="AI152" s="162"/>
    </row>
    <row r="153" ht="12.75">
      <c r="AG153" s="30">
        <f>SUM(AG147:AG152)</f>
        <v>11</v>
      </c>
    </row>
    <row r="155" ht="12.75">
      <c r="AC155" s="90" t="s">
        <v>165</v>
      </c>
    </row>
    <row r="156" spans="29:35" ht="12.75">
      <c r="AC156" s="72" t="s">
        <v>0</v>
      </c>
      <c r="AD156" s="72" t="s">
        <v>110</v>
      </c>
      <c r="AE156" s="72" t="s">
        <v>120</v>
      </c>
      <c r="AF156" s="72" t="s">
        <v>147</v>
      </c>
      <c r="AG156" s="72" t="s">
        <v>119</v>
      </c>
      <c r="AH156" s="72" t="s">
        <v>111</v>
      </c>
      <c r="AI156" s="53" t="s">
        <v>106</v>
      </c>
    </row>
    <row r="157" spans="29:35" ht="12.75">
      <c r="AC157" s="7" t="s">
        <v>2</v>
      </c>
      <c r="AD157" s="16">
        <v>218.53870367098415</v>
      </c>
      <c r="AE157" s="24">
        <f aca="true" t="shared" si="61" ref="AE157:AE162">AD157/AG157/22</f>
        <v>5.5186541331056596</v>
      </c>
      <c r="AF157" s="65">
        <f aca="true" t="shared" si="62" ref="AF157:AF162">AE157/6</f>
        <v>0.9197756888509433</v>
      </c>
      <c r="AG157" s="30">
        <v>1.8</v>
      </c>
      <c r="AH157" s="51">
        <v>4</v>
      </c>
      <c r="AI157" s="208">
        <v>-0.2</v>
      </c>
    </row>
    <row r="158" spans="29:37" ht="12.75">
      <c r="AC158" s="7" t="s">
        <v>5</v>
      </c>
      <c r="AD158" s="16">
        <v>167.69058945050764</v>
      </c>
      <c r="AE158" s="24">
        <f t="shared" si="61"/>
        <v>3.81114976023881</v>
      </c>
      <c r="AF158" s="65">
        <f t="shared" si="62"/>
        <v>0.6351916267064683</v>
      </c>
      <c r="AG158" s="30">
        <v>2</v>
      </c>
      <c r="AH158" s="51">
        <v>3</v>
      </c>
      <c r="AI158" s="208"/>
      <c r="AJ158" s="205">
        <f>(AF157+AF161)/2</f>
        <v>0.9379890688281898</v>
      </c>
      <c r="AK158" s="206" t="s">
        <v>152</v>
      </c>
    </row>
    <row r="159" spans="29:37" ht="12.75">
      <c r="AC159" s="7" t="s">
        <v>7</v>
      </c>
      <c r="AD159" s="16">
        <v>283.45118990989033</v>
      </c>
      <c r="AE159" s="24">
        <f t="shared" si="61"/>
        <v>4.294714998634702</v>
      </c>
      <c r="AF159" s="65">
        <f t="shared" si="62"/>
        <v>0.7157858331057837</v>
      </c>
      <c r="AG159" s="30">
        <v>3</v>
      </c>
      <c r="AH159" s="51">
        <v>3</v>
      </c>
      <c r="AI159" s="45"/>
      <c r="AJ159" s="205">
        <f>(AF158+AF162)/2</f>
        <v>0.8052590622440066</v>
      </c>
      <c r="AK159" s="206" t="s">
        <v>153</v>
      </c>
    </row>
    <row r="160" spans="29:37" ht="12.75">
      <c r="AC160" s="7" t="s">
        <v>9</v>
      </c>
      <c r="AD160" s="16">
        <v>245.58557293719505</v>
      </c>
      <c r="AE160" s="24">
        <f t="shared" si="61"/>
        <v>5.5814902940271605</v>
      </c>
      <c r="AF160" s="65">
        <f t="shared" si="62"/>
        <v>0.9302483823378601</v>
      </c>
      <c r="AG160" s="30">
        <v>2</v>
      </c>
      <c r="AH160" s="51">
        <v>4</v>
      </c>
      <c r="AI160" s="209"/>
      <c r="AJ160" s="205">
        <f>(AF159+AF160)/2</f>
        <v>0.8230171077218219</v>
      </c>
      <c r="AK160" s="206" t="s">
        <v>154</v>
      </c>
    </row>
    <row r="161" spans="29:35" ht="12.75">
      <c r="AC161" s="7" t="s">
        <v>11</v>
      </c>
      <c r="AD161" s="16">
        <v>151.46246789078108</v>
      </c>
      <c r="AE161" s="24">
        <f t="shared" si="61"/>
        <v>5.737214692832617</v>
      </c>
      <c r="AF161" s="65">
        <f t="shared" si="62"/>
        <v>0.9562024488054361</v>
      </c>
      <c r="AG161" s="30">
        <v>1.2</v>
      </c>
      <c r="AH161" s="51">
        <v>2</v>
      </c>
      <c r="AI161" s="209">
        <f>-AI157</f>
        <v>0.2</v>
      </c>
    </row>
    <row r="162" spans="29:35" ht="12.75">
      <c r="AC162" s="7" t="s">
        <v>13</v>
      </c>
      <c r="AD162" s="16">
        <v>128.74309770716394</v>
      </c>
      <c r="AE162" s="24">
        <f t="shared" si="61"/>
        <v>5.85195898668927</v>
      </c>
      <c r="AF162" s="65">
        <f t="shared" si="62"/>
        <v>0.9753264977815449</v>
      </c>
      <c r="AG162" s="30">
        <v>1</v>
      </c>
      <c r="AH162" s="51">
        <v>2</v>
      </c>
      <c r="AI162" s="209"/>
    </row>
    <row r="163" ht="12.75">
      <c r="AG163" s="30">
        <f>SUM(AG157:AG162)</f>
        <v>11</v>
      </c>
    </row>
    <row r="164" ht="12.75">
      <c r="AG164" s="74"/>
    </row>
    <row r="165" ht="12.75">
      <c r="AG165" s="74"/>
    </row>
    <row r="166" ht="12.75">
      <c r="AC166" s="90" t="s">
        <v>166</v>
      </c>
    </row>
    <row r="167" spans="29:35" ht="12.75">
      <c r="AC167" s="72" t="s">
        <v>0</v>
      </c>
      <c r="AD167" s="72" t="s">
        <v>110</v>
      </c>
      <c r="AE167" s="72" t="s">
        <v>120</v>
      </c>
      <c r="AF167" s="72" t="s">
        <v>147</v>
      </c>
      <c r="AG167" s="72" t="s">
        <v>119</v>
      </c>
      <c r="AH167" s="72" t="s">
        <v>111</v>
      </c>
      <c r="AI167" s="53" t="s">
        <v>106</v>
      </c>
    </row>
    <row r="168" spans="29:35" ht="12.75">
      <c r="AC168" s="7" t="s">
        <v>2</v>
      </c>
      <c r="AD168" s="16">
        <v>235.0774073419683</v>
      </c>
      <c r="AE168" s="24">
        <f aca="true" t="shared" si="63" ref="AE168:AE173">AD168/AG168/22</f>
        <v>5.93629816520122</v>
      </c>
      <c r="AF168" s="65">
        <f aca="true" t="shared" si="64" ref="AF168:AF173">AE168/6</f>
        <v>0.9893830275335366</v>
      </c>
      <c r="AG168" s="30">
        <v>1.8</v>
      </c>
      <c r="AH168" s="51">
        <v>4</v>
      </c>
      <c r="AI168" s="208">
        <v>-0.2</v>
      </c>
    </row>
    <row r="169" spans="29:37" ht="12.75">
      <c r="AC169" s="7" t="s">
        <v>5</v>
      </c>
      <c r="AD169" s="16">
        <v>180.3811789010153</v>
      </c>
      <c r="AE169" s="24">
        <f t="shared" si="63"/>
        <v>4.555080275278164</v>
      </c>
      <c r="AF169" s="65">
        <f t="shared" si="64"/>
        <v>0.759180045879694</v>
      </c>
      <c r="AG169" s="30">
        <v>1.8</v>
      </c>
      <c r="AH169" s="51">
        <v>3</v>
      </c>
      <c r="AI169" s="208">
        <v>-0.2</v>
      </c>
      <c r="AJ169" s="205">
        <f>(AF168+AF172)/2</f>
        <v>1.0089747706530126</v>
      </c>
      <c r="AK169" s="206" t="s">
        <v>152</v>
      </c>
    </row>
    <row r="170" spans="29:37" ht="12.75">
      <c r="AC170" s="7" t="s">
        <v>7</v>
      </c>
      <c r="AD170" s="16">
        <v>304.90237981978066</v>
      </c>
      <c r="AE170" s="24">
        <f t="shared" si="63"/>
        <v>4.949713958113322</v>
      </c>
      <c r="AF170" s="65">
        <f t="shared" si="64"/>
        <v>0.8249523263522204</v>
      </c>
      <c r="AG170" s="30">
        <v>2.8</v>
      </c>
      <c r="AH170" s="51">
        <v>3</v>
      </c>
      <c r="AI170" s="208">
        <v>-0.2</v>
      </c>
      <c r="AJ170" s="205">
        <f>(AF169+AF173)/2</f>
        <v>0.8167307912931545</v>
      </c>
      <c r="AK170" s="206" t="s">
        <v>153</v>
      </c>
    </row>
    <row r="171" spans="29:37" ht="12.75">
      <c r="AC171" s="7" t="s">
        <v>9</v>
      </c>
      <c r="AD171" s="16">
        <v>264.1711458743901</v>
      </c>
      <c r="AE171" s="24">
        <f t="shared" si="63"/>
        <v>5.458081526330374</v>
      </c>
      <c r="AF171" s="65">
        <f t="shared" si="64"/>
        <v>0.9096802543883956</v>
      </c>
      <c r="AG171" s="30">
        <v>2.2</v>
      </c>
      <c r="AH171" s="51">
        <v>4</v>
      </c>
      <c r="AI171" s="209">
        <f>-AI170</f>
        <v>0.2</v>
      </c>
      <c r="AJ171" s="205">
        <f>(AF170+AF171)/2</f>
        <v>0.867316290370308</v>
      </c>
      <c r="AK171" s="206" t="s">
        <v>154</v>
      </c>
    </row>
    <row r="172" spans="29:35" ht="12.75">
      <c r="AC172" s="7" t="s">
        <v>11</v>
      </c>
      <c r="AD172" s="16">
        <v>162.9249357815622</v>
      </c>
      <c r="AE172" s="24">
        <f t="shared" si="63"/>
        <v>6.171399082634932</v>
      </c>
      <c r="AF172" s="65">
        <f t="shared" si="64"/>
        <v>1.0285665137724886</v>
      </c>
      <c r="AG172" s="30">
        <v>1.2</v>
      </c>
      <c r="AH172" s="51">
        <v>2</v>
      </c>
      <c r="AI172" s="209">
        <f>-AI168</f>
        <v>0.2</v>
      </c>
    </row>
    <row r="173" spans="29:35" ht="12.75">
      <c r="AC173" s="7" t="s">
        <v>13</v>
      </c>
      <c r="AD173" s="16">
        <v>138.48619541432785</v>
      </c>
      <c r="AE173" s="24">
        <f t="shared" si="63"/>
        <v>5.245689220239691</v>
      </c>
      <c r="AF173" s="65">
        <f t="shared" si="64"/>
        <v>0.8742815367066151</v>
      </c>
      <c r="AG173" s="30">
        <v>1.2</v>
      </c>
      <c r="AH173" s="51">
        <v>2</v>
      </c>
      <c r="AI173" s="209">
        <f>-AI169</f>
        <v>0.2</v>
      </c>
    </row>
    <row r="174" ht="12.75">
      <c r="AG174" s="30">
        <f>SUM(AG168:AG173)</f>
        <v>11</v>
      </c>
    </row>
  </sheetData>
  <mergeCells count="7">
    <mergeCell ref="A70:V70"/>
    <mergeCell ref="P28:Q28"/>
    <mergeCell ref="D28:E28"/>
    <mergeCell ref="A1:V1"/>
    <mergeCell ref="A18:V18"/>
    <mergeCell ref="A36:V36"/>
    <mergeCell ref="A53:V53"/>
  </mergeCells>
  <printOptions/>
  <pageMargins left="0.76" right="0.75" top="1.18" bottom="1.71" header="0.1968503937007874" footer="0"/>
  <pageSetup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8"/>
  <sheetViews>
    <sheetView zoomScale="90" zoomScaleNormal="90" workbookViewId="0" topLeftCell="V22">
      <selection activeCell="D157" sqref="D157"/>
    </sheetView>
  </sheetViews>
  <sheetFormatPr defaultColWidth="9.140625" defaultRowHeight="12.75"/>
  <cols>
    <col min="1" max="1" width="11.7109375" style="130" bestFit="1" customWidth="1"/>
    <col min="2" max="2" width="11.57421875" style="0" customWidth="1"/>
    <col min="3" max="3" width="12.57421875" style="172" customWidth="1"/>
    <col min="4" max="4" width="21.00390625" style="0" customWidth="1"/>
    <col min="5" max="5" width="9.140625" style="0" hidden="1" customWidth="1"/>
    <col min="6" max="6" width="10.00390625" style="0" hidden="1" customWidth="1"/>
    <col min="7" max="7" width="12.00390625" style="0" hidden="1" customWidth="1"/>
    <col min="8" max="8" width="12.7109375" style="0" hidden="1" customWidth="1"/>
    <col min="9" max="9" width="12.8515625" style="0" hidden="1" customWidth="1"/>
    <col min="10" max="10" width="9.140625" style="0" hidden="1" customWidth="1"/>
    <col min="11" max="11" width="8.7109375" style="0" bestFit="1" customWidth="1"/>
    <col min="12" max="12" width="9.140625" style="0" hidden="1" customWidth="1"/>
    <col min="13" max="13" width="9.140625" style="79" hidden="1" customWidth="1"/>
    <col min="14" max="14" width="8.28125" style="0" hidden="1" customWidth="1"/>
    <col min="15" max="15" width="10.00390625" style="0" hidden="1" customWidth="1"/>
    <col min="16" max="16" width="22.8515625" style="0" hidden="1" customWidth="1"/>
    <col min="17" max="17" width="23.00390625" style="0" hidden="1" customWidth="1"/>
    <col min="18" max="18" width="11.00390625" style="0" customWidth="1"/>
    <col min="19" max="20" width="0" style="0" hidden="1" customWidth="1"/>
    <col min="21" max="21" width="13.00390625" style="0" customWidth="1"/>
    <col min="22" max="22" width="13.421875" style="130" customWidth="1"/>
    <col min="23" max="23" width="11.57421875" style="0" bestFit="1" customWidth="1"/>
    <col min="24" max="24" width="21.00390625" style="0" bestFit="1" customWidth="1"/>
    <col min="25" max="25" width="15.28125" style="0" hidden="1" customWidth="1"/>
    <col min="26" max="26" width="10.00390625" style="0" bestFit="1" customWidth="1"/>
    <col min="27" max="27" width="13.57421875" style="0" customWidth="1"/>
    <col min="28" max="28" width="13.28125" style="130" customWidth="1"/>
    <col min="29" max="29" width="11.57421875" style="0" bestFit="1" customWidth="1"/>
    <col min="30" max="30" width="12.57421875" style="172" customWidth="1"/>
    <col min="31" max="31" width="19.7109375" style="0" bestFit="1" customWidth="1"/>
    <col min="32" max="32" width="10.7109375" style="0" customWidth="1"/>
    <col min="33" max="33" width="14.28125" style="0" customWidth="1"/>
    <col min="34" max="34" width="0" style="0" hidden="1" customWidth="1"/>
  </cols>
  <sheetData>
    <row r="1" spans="1:33" ht="52.5" customHeight="1">
      <c r="A1" s="229" t="s">
        <v>141</v>
      </c>
      <c r="B1" s="2" t="s">
        <v>0</v>
      </c>
      <c r="C1" s="2" t="s">
        <v>148</v>
      </c>
      <c r="D1" s="72" t="s">
        <v>1</v>
      </c>
      <c r="E1" s="3" t="s">
        <v>125</v>
      </c>
      <c r="F1" s="3" t="s">
        <v>126</v>
      </c>
      <c r="G1" s="3" t="s">
        <v>127</v>
      </c>
      <c r="H1" s="3" t="s">
        <v>128</v>
      </c>
      <c r="I1" s="3" t="s">
        <v>129</v>
      </c>
      <c r="J1" s="2" t="s">
        <v>130</v>
      </c>
      <c r="K1" s="2" t="s">
        <v>131</v>
      </c>
      <c r="L1" s="2" t="s">
        <v>130</v>
      </c>
      <c r="M1" s="199" t="s">
        <v>134</v>
      </c>
      <c r="N1" s="200" t="s">
        <v>132</v>
      </c>
      <c r="O1" s="201" t="s">
        <v>133</v>
      </c>
      <c r="P1" s="92" t="s">
        <v>81</v>
      </c>
      <c r="Q1" s="92" t="s">
        <v>109</v>
      </c>
      <c r="R1" s="2" t="s">
        <v>142</v>
      </c>
      <c r="S1" s="8"/>
      <c r="T1" s="2"/>
      <c r="U1" s="2" t="s">
        <v>143</v>
      </c>
      <c r="V1" s="224" t="s">
        <v>150</v>
      </c>
      <c r="W1" s="72" t="s">
        <v>0</v>
      </c>
      <c r="X1" s="72" t="s">
        <v>1</v>
      </c>
      <c r="Y1" s="49" t="s">
        <v>81</v>
      </c>
      <c r="Z1" s="2" t="s">
        <v>142</v>
      </c>
      <c r="AA1" s="2" t="s">
        <v>143</v>
      </c>
      <c r="AB1" s="224" t="s">
        <v>151</v>
      </c>
      <c r="AC1" s="72" t="s">
        <v>0</v>
      </c>
      <c r="AD1" s="2" t="s">
        <v>148</v>
      </c>
      <c r="AE1" s="72" t="s">
        <v>1</v>
      </c>
      <c r="AF1" s="2" t="s">
        <v>142</v>
      </c>
      <c r="AG1" s="2" t="s">
        <v>143</v>
      </c>
    </row>
    <row r="2" spans="1:33" ht="12.75">
      <c r="A2" s="230"/>
      <c r="B2" s="187" t="s">
        <v>2</v>
      </c>
      <c r="C2" s="188">
        <v>2</v>
      </c>
      <c r="D2" s="189" t="s">
        <v>3</v>
      </c>
      <c r="E2" s="190">
        <v>39</v>
      </c>
      <c r="F2" s="191">
        <v>12</v>
      </c>
      <c r="G2" s="191">
        <v>20</v>
      </c>
      <c r="H2" s="192">
        <f aca="true" t="shared" si="0" ref="H2:H36">G2*0.7</f>
        <v>14</v>
      </c>
      <c r="I2" s="191">
        <v>2</v>
      </c>
      <c r="J2" s="193">
        <f aca="true" t="shared" si="1" ref="J2:J36">SUM(E2:I2)</f>
        <v>87</v>
      </c>
      <c r="K2" s="194">
        <f aca="true" t="shared" si="2" ref="K2:K9">(J2+J62)/2</f>
        <v>79.06701030927834</v>
      </c>
      <c r="L2" s="194">
        <f>SUM(K2:K9)</f>
        <v>1782.8536082474227</v>
      </c>
      <c r="M2" s="195">
        <f>K2/$L$2</f>
        <v>0.04434857126996683</v>
      </c>
      <c r="N2" s="79">
        <f>('[1]Riepilogo'!G43-'[1]Riepilogo'!G3)/'[1]Riepilogo'!G3</f>
        <v>0.024755105076390286</v>
      </c>
      <c r="O2" s="15">
        <f>'[1]Riepilogo'!G43-'[1]Riepilogo'!G3</f>
        <v>43.148148148148266</v>
      </c>
      <c r="P2" s="46">
        <v>3</v>
      </c>
      <c r="Q2" s="196">
        <v>2</v>
      </c>
      <c r="R2" s="197">
        <f>K2/220*5</f>
        <v>1.7969775070290535</v>
      </c>
      <c r="S2" s="132"/>
      <c r="T2" s="180"/>
      <c r="U2" s="198">
        <f>R4+R7</f>
        <v>13.063952671040301</v>
      </c>
      <c r="V2" s="225"/>
      <c r="W2" s="4" t="s">
        <v>2</v>
      </c>
      <c r="X2" s="99" t="s">
        <v>3</v>
      </c>
      <c r="Y2" s="147">
        <v>2</v>
      </c>
      <c r="Z2" s="143">
        <f>K2/220*5</f>
        <v>1.7969775070290535</v>
      </c>
      <c r="AA2" s="149">
        <f>Z8+Z3++Z5+Z4</f>
        <v>26.390042174320527</v>
      </c>
      <c r="AB2" s="225"/>
      <c r="AC2" s="168" t="s">
        <v>2</v>
      </c>
      <c r="AD2" s="75">
        <v>2</v>
      </c>
      <c r="AE2" s="153" t="s">
        <v>3</v>
      </c>
      <c r="AF2" s="66">
        <v>1.7969775070290535</v>
      </c>
      <c r="AG2" s="149">
        <f>AF8+AF3++AF5+AF4-5</f>
        <v>21.390042174320527</v>
      </c>
    </row>
    <row r="3" spans="1:34" ht="12.75">
      <c r="A3" s="230"/>
      <c r="B3" s="173" t="s">
        <v>2</v>
      </c>
      <c r="C3" s="75">
        <v>6</v>
      </c>
      <c r="D3" s="112" t="s">
        <v>4</v>
      </c>
      <c r="E3" s="6">
        <v>99</v>
      </c>
      <c r="F3" s="12">
        <v>8</v>
      </c>
      <c r="G3" s="12">
        <v>27</v>
      </c>
      <c r="H3" s="69">
        <f t="shared" si="0"/>
        <v>18.9</v>
      </c>
      <c r="I3" s="12">
        <v>13</v>
      </c>
      <c r="J3" s="77">
        <f t="shared" si="1"/>
        <v>165.9</v>
      </c>
      <c r="K3" s="78">
        <f t="shared" si="2"/>
        <v>148.39329896907216</v>
      </c>
      <c r="L3" s="78"/>
      <c r="M3" s="93">
        <f aca="true" t="shared" si="3" ref="M3:M9">K3/$L$2</f>
        <v>0.08323358591115367</v>
      </c>
      <c r="P3" s="30">
        <v>2</v>
      </c>
      <c r="Q3" s="147">
        <v>1</v>
      </c>
      <c r="R3" s="143">
        <f aca="true" t="shared" si="4" ref="R3:R9">K3/220*5</f>
        <v>3.372574976569822</v>
      </c>
      <c r="S3" s="132"/>
      <c r="T3" s="180"/>
      <c r="U3" s="176">
        <f>(K5+K8)/220*5</f>
        <v>13.617994376757265</v>
      </c>
      <c r="V3" s="225"/>
      <c r="W3" s="4" t="s">
        <v>2</v>
      </c>
      <c r="X3" s="89" t="s">
        <v>4</v>
      </c>
      <c r="Y3" s="147">
        <v>1</v>
      </c>
      <c r="Z3" s="143">
        <f aca="true" t="shared" si="5" ref="Z3:Z9">K3/220*5</f>
        <v>3.372574976569822</v>
      </c>
      <c r="AA3" s="150">
        <f>Z9+Z7+Z6+Z2</f>
        <v>14.129358013120902</v>
      </c>
      <c r="AB3" s="225"/>
      <c r="AC3" s="168" t="s">
        <v>2</v>
      </c>
      <c r="AD3" s="75">
        <v>6</v>
      </c>
      <c r="AE3" s="152" t="s">
        <v>4</v>
      </c>
      <c r="AF3" s="66">
        <v>3.372574976569822</v>
      </c>
      <c r="AG3" s="150">
        <f>AF9+AF7+AF6+AF2+5</f>
        <v>19.1293580131209</v>
      </c>
      <c r="AH3" t="s">
        <v>145</v>
      </c>
    </row>
    <row r="4" spans="1:33" ht="12.75">
      <c r="A4" s="230"/>
      <c r="B4" s="173" t="s">
        <v>2</v>
      </c>
      <c r="C4" s="75">
        <v>1</v>
      </c>
      <c r="D4" s="104" t="s">
        <v>6</v>
      </c>
      <c r="E4" s="6">
        <v>238</v>
      </c>
      <c r="F4" s="12">
        <v>43</v>
      </c>
      <c r="G4" s="12">
        <v>71</v>
      </c>
      <c r="H4" s="69">
        <f t="shared" si="0"/>
        <v>49.699999999999996</v>
      </c>
      <c r="I4" s="12">
        <v>25</v>
      </c>
      <c r="J4" s="77">
        <f t="shared" si="1"/>
        <v>426.7</v>
      </c>
      <c r="K4" s="78">
        <f t="shared" si="2"/>
        <v>413.5768041237113</v>
      </c>
      <c r="L4" s="78"/>
      <c r="M4" s="93">
        <f t="shared" si="3"/>
        <v>0.2319746288817649</v>
      </c>
      <c r="P4" s="30">
        <v>4</v>
      </c>
      <c r="Q4" s="147">
        <v>2</v>
      </c>
      <c r="R4" s="143">
        <f t="shared" si="4"/>
        <v>9.39947282099344</v>
      </c>
      <c r="S4" s="132"/>
      <c r="T4" s="180"/>
      <c r="U4" s="177">
        <f>R2+R3+R6+R9</f>
        <v>13.837453139643863</v>
      </c>
      <c r="V4" s="225"/>
      <c r="W4" s="4" t="s">
        <v>2</v>
      </c>
      <c r="X4" s="89" t="s">
        <v>6</v>
      </c>
      <c r="Y4" s="147">
        <v>2</v>
      </c>
      <c r="Z4" s="143">
        <f t="shared" si="5"/>
        <v>9.39947282099344</v>
      </c>
      <c r="AA4" s="8"/>
      <c r="AB4" s="225"/>
      <c r="AC4" s="168" t="s">
        <v>2</v>
      </c>
      <c r="AD4" s="75">
        <v>1</v>
      </c>
      <c r="AE4" s="152" t="s">
        <v>6</v>
      </c>
      <c r="AF4" s="66">
        <v>9.39947282099344</v>
      </c>
      <c r="AG4" s="8"/>
    </row>
    <row r="5" spans="1:33" ht="12.75">
      <c r="A5" s="230"/>
      <c r="B5" s="173" t="s">
        <v>2</v>
      </c>
      <c r="C5" s="75">
        <v>7</v>
      </c>
      <c r="D5" s="111" t="s">
        <v>8</v>
      </c>
      <c r="E5" s="6">
        <v>170</v>
      </c>
      <c r="F5" s="12">
        <v>22</v>
      </c>
      <c r="G5" s="12">
        <v>55</v>
      </c>
      <c r="H5" s="69">
        <f t="shared" si="0"/>
        <v>38.5</v>
      </c>
      <c r="I5" s="12">
        <v>21</v>
      </c>
      <c r="J5" s="77">
        <f t="shared" si="1"/>
        <v>306.5</v>
      </c>
      <c r="K5" s="78">
        <f t="shared" si="2"/>
        <v>298.61082474226805</v>
      </c>
      <c r="L5" s="78"/>
      <c r="M5" s="93">
        <f t="shared" si="3"/>
        <v>0.1674903779877967</v>
      </c>
      <c r="P5" s="30">
        <v>3</v>
      </c>
      <c r="Q5" s="147">
        <v>2</v>
      </c>
      <c r="R5" s="143">
        <f t="shared" si="4"/>
        <v>6.7866096532333655</v>
      </c>
      <c r="S5" s="132"/>
      <c r="T5" s="180"/>
      <c r="U5" s="54"/>
      <c r="V5" s="225"/>
      <c r="W5" s="4" t="s">
        <v>2</v>
      </c>
      <c r="X5" s="89" t="s">
        <v>8</v>
      </c>
      <c r="Y5" s="147">
        <v>2</v>
      </c>
      <c r="Z5" s="143">
        <f t="shared" si="5"/>
        <v>6.7866096532333655</v>
      </c>
      <c r="AA5" s="8"/>
      <c r="AB5" s="225"/>
      <c r="AC5" s="168" t="s">
        <v>2</v>
      </c>
      <c r="AD5" s="75">
        <v>7</v>
      </c>
      <c r="AE5" s="152" t="s">
        <v>8</v>
      </c>
      <c r="AF5" s="66">
        <v>6.7866096532333655</v>
      </c>
      <c r="AG5" s="8"/>
    </row>
    <row r="6" spans="1:33" ht="12.75">
      <c r="A6" s="230"/>
      <c r="B6" s="173" t="s">
        <v>2</v>
      </c>
      <c r="C6" s="75">
        <v>3</v>
      </c>
      <c r="D6" s="112" t="s">
        <v>10</v>
      </c>
      <c r="E6" s="6">
        <v>94</v>
      </c>
      <c r="F6" s="12">
        <v>14</v>
      </c>
      <c r="G6" s="12">
        <v>42</v>
      </c>
      <c r="H6" s="69">
        <f t="shared" si="0"/>
        <v>29.4</v>
      </c>
      <c r="I6" s="12">
        <v>16</v>
      </c>
      <c r="J6" s="77">
        <f t="shared" si="1"/>
        <v>195.4</v>
      </c>
      <c r="K6" s="78">
        <f t="shared" si="2"/>
        <v>185.9061855670103</v>
      </c>
      <c r="L6" s="78"/>
      <c r="M6" s="93">
        <f t="shared" si="3"/>
        <v>0.10427450953180584</v>
      </c>
      <c r="P6" s="30">
        <v>2</v>
      </c>
      <c r="Q6" s="147">
        <v>1</v>
      </c>
      <c r="R6" s="143">
        <f t="shared" si="4"/>
        <v>4.225140581068416</v>
      </c>
      <c r="S6" s="132"/>
      <c r="T6" s="180"/>
      <c r="U6" s="54"/>
      <c r="V6" s="225"/>
      <c r="W6" s="4" t="s">
        <v>2</v>
      </c>
      <c r="X6" s="99" t="s">
        <v>10</v>
      </c>
      <c r="Y6" s="147">
        <v>1</v>
      </c>
      <c r="Z6" s="143">
        <f t="shared" si="5"/>
        <v>4.225140581068416</v>
      </c>
      <c r="AA6" s="8"/>
      <c r="AB6" s="225"/>
      <c r="AC6" s="168" t="s">
        <v>2</v>
      </c>
      <c r="AD6" s="75">
        <v>3</v>
      </c>
      <c r="AE6" s="153" t="s">
        <v>10</v>
      </c>
      <c r="AF6" s="66">
        <v>4.225140581068416</v>
      </c>
      <c r="AG6" s="8"/>
    </row>
    <row r="7" spans="1:33" ht="12.75">
      <c r="A7" s="230"/>
      <c r="B7" s="173" t="s">
        <v>2</v>
      </c>
      <c r="C7" s="75">
        <v>4</v>
      </c>
      <c r="D7" s="104" t="s">
        <v>12</v>
      </c>
      <c r="E7" s="6">
        <v>87</v>
      </c>
      <c r="F7" s="12">
        <v>28</v>
      </c>
      <c r="G7" s="12">
        <v>40</v>
      </c>
      <c r="H7" s="69">
        <f t="shared" si="0"/>
        <v>28</v>
      </c>
      <c r="I7" s="12">
        <v>5</v>
      </c>
      <c r="J7" s="77">
        <f t="shared" si="1"/>
        <v>188</v>
      </c>
      <c r="K7" s="78">
        <f t="shared" si="2"/>
        <v>161.23711340206188</v>
      </c>
      <c r="L7" s="78"/>
      <c r="M7" s="93">
        <f t="shared" si="3"/>
        <v>0.0904376627762281</v>
      </c>
      <c r="P7" s="30">
        <v>2</v>
      </c>
      <c r="Q7" s="147">
        <v>1</v>
      </c>
      <c r="R7" s="143">
        <f t="shared" si="4"/>
        <v>3.6644798500468614</v>
      </c>
      <c r="S7" s="132"/>
      <c r="T7" s="180"/>
      <c r="U7" s="54"/>
      <c r="V7" s="225"/>
      <c r="W7" s="4" t="s">
        <v>2</v>
      </c>
      <c r="X7" s="99" t="s">
        <v>12</v>
      </c>
      <c r="Y7" s="147">
        <v>1</v>
      </c>
      <c r="Z7" s="143">
        <f t="shared" si="5"/>
        <v>3.6644798500468614</v>
      </c>
      <c r="AA7" s="8"/>
      <c r="AB7" s="225"/>
      <c r="AC7" s="168" t="s">
        <v>2</v>
      </c>
      <c r="AD7" s="75">
        <v>4</v>
      </c>
      <c r="AE7" s="153" t="s">
        <v>12</v>
      </c>
      <c r="AF7" s="66">
        <v>3.6644798500468614</v>
      </c>
      <c r="AG7" s="8"/>
    </row>
    <row r="8" spans="1:33" ht="12.75">
      <c r="A8" s="230"/>
      <c r="B8" s="173" t="s">
        <v>2</v>
      </c>
      <c r="C8" s="75">
        <v>8</v>
      </c>
      <c r="D8" s="111" t="s">
        <v>14</v>
      </c>
      <c r="E8" s="6">
        <v>197</v>
      </c>
      <c r="F8" s="12">
        <v>30</v>
      </c>
      <c r="G8" s="12">
        <v>53</v>
      </c>
      <c r="H8" s="69">
        <f t="shared" si="0"/>
        <v>37.099999999999994</v>
      </c>
      <c r="I8" s="12">
        <v>14</v>
      </c>
      <c r="J8" s="77">
        <f t="shared" si="1"/>
        <v>331.1</v>
      </c>
      <c r="K8" s="78">
        <f t="shared" si="2"/>
        <v>300.5809278350516</v>
      </c>
      <c r="L8" s="78"/>
      <c r="M8" s="93">
        <f t="shared" si="3"/>
        <v>0.1685954059517697</v>
      </c>
      <c r="N8" s="80"/>
      <c r="O8" s="54"/>
      <c r="P8" s="46">
        <f>SUM(P2:P7)</f>
        <v>16</v>
      </c>
      <c r="Q8" s="147">
        <f>SUM(Q2:Q7)</f>
        <v>9</v>
      </c>
      <c r="R8" s="143">
        <f t="shared" si="4"/>
        <v>6.8313847235239</v>
      </c>
      <c r="S8" s="132"/>
      <c r="T8" s="180"/>
      <c r="U8" s="54"/>
      <c r="V8" s="225"/>
      <c r="W8" s="4" t="s">
        <v>2</v>
      </c>
      <c r="X8" s="89" t="s">
        <v>14</v>
      </c>
      <c r="Y8" s="147">
        <v>9</v>
      </c>
      <c r="Z8" s="143">
        <f t="shared" si="5"/>
        <v>6.8313847235239</v>
      </c>
      <c r="AA8" s="8"/>
      <c r="AB8" s="225"/>
      <c r="AC8" s="168" t="s">
        <v>2</v>
      </c>
      <c r="AD8" s="75">
        <v>8</v>
      </c>
      <c r="AE8" s="152" t="s">
        <v>14</v>
      </c>
      <c r="AF8" s="66">
        <v>6.8313847235239</v>
      </c>
      <c r="AG8" s="8"/>
    </row>
    <row r="9" spans="1:33" ht="12.75">
      <c r="A9" s="230"/>
      <c r="B9" s="173" t="s">
        <v>2</v>
      </c>
      <c r="C9" s="75">
        <v>5</v>
      </c>
      <c r="D9" s="112" t="s">
        <v>15</v>
      </c>
      <c r="E9" s="6">
        <v>97</v>
      </c>
      <c r="F9" s="12">
        <v>59</v>
      </c>
      <c r="G9" s="12">
        <v>26</v>
      </c>
      <c r="H9" s="69">
        <f t="shared" si="0"/>
        <v>18.2</v>
      </c>
      <c r="I9" s="12">
        <v>12</v>
      </c>
      <c r="J9" s="77">
        <f t="shared" si="1"/>
        <v>212.2</v>
      </c>
      <c r="K9" s="78">
        <f t="shared" si="2"/>
        <v>195.48144329896905</v>
      </c>
      <c r="L9" s="78"/>
      <c r="M9" s="93">
        <f t="shared" si="3"/>
        <v>0.1096452576895143</v>
      </c>
      <c r="N9" s="80"/>
      <c r="O9" s="54"/>
      <c r="R9" s="143">
        <f t="shared" si="4"/>
        <v>4.44276007497657</v>
      </c>
      <c r="S9" s="132"/>
      <c r="T9" s="180"/>
      <c r="U9" s="54"/>
      <c r="V9" s="225"/>
      <c r="W9" s="4" t="s">
        <v>2</v>
      </c>
      <c r="X9" s="99" t="s">
        <v>15</v>
      </c>
      <c r="Z9" s="143">
        <f t="shared" si="5"/>
        <v>4.44276007497657</v>
      </c>
      <c r="AA9" s="8"/>
      <c r="AB9" s="225"/>
      <c r="AC9" s="168" t="s">
        <v>2</v>
      </c>
      <c r="AD9" s="75">
        <v>5</v>
      </c>
      <c r="AE9" s="153" t="s">
        <v>15</v>
      </c>
      <c r="AF9" s="66">
        <v>4.44276007497657</v>
      </c>
      <c r="AG9" s="8"/>
    </row>
    <row r="10" spans="1:33" ht="12.75">
      <c r="A10" s="230"/>
      <c r="B10" s="173"/>
      <c r="C10" s="75"/>
      <c r="D10" s="61"/>
      <c r="E10" s="6"/>
      <c r="F10" s="12"/>
      <c r="G10" s="12"/>
      <c r="H10" s="69"/>
      <c r="I10" s="12"/>
      <c r="J10" s="114"/>
      <c r="K10" s="117"/>
      <c r="L10" s="117"/>
      <c r="M10" s="118"/>
      <c r="N10" s="80"/>
      <c r="O10" s="54"/>
      <c r="S10" s="132"/>
      <c r="T10" s="180"/>
      <c r="U10" s="54"/>
      <c r="V10" s="225"/>
      <c r="W10" s="4"/>
      <c r="X10" s="5"/>
      <c r="Y10" s="148" t="s">
        <v>106</v>
      </c>
      <c r="Z10" s="8"/>
      <c r="AA10" s="8"/>
      <c r="AB10" s="225"/>
      <c r="AD10" s="75"/>
      <c r="AF10" s="8"/>
      <c r="AG10" s="8"/>
    </row>
    <row r="11" spans="1:33" ht="12.75">
      <c r="A11" s="230"/>
      <c r="B11" s="173" t="s">
        <v>5</v>
      </c>
      <c r="C11" s="75">
        <v>2</v>
      </c>
      <c r="D11" s="104" t="s">
        <v>16</v>
      </c>
      <c r="E11" s="9">
        <v>111</v>
      </c>
      <c r="F11" s="12">
        <v>32</v>
      </c>
      <c r="G11" s="12">
        <v>55</v>
      </c>
      <c r="H11" s="69">
        <f t="shared" si="0"/>
        <v>38.5</v>
      </c>
      <c r="I11" s="12">
        <v>3</v>
      </c>
      <c r="J11" s="77">
        <f t="shared" si="1"/>
        <v>239.5</v>
      </c>
      <c r="K11" s="81">
        <f aca="true" t="shared" si="6" ref="K11:K17">(J11+J70)/2</f>
        <v>254.16237113402065</v>
      </c>
      <c r="L11" s="81">
        <f>SUM(K11:K17)</f>
        <v>1383.3716494845362</v>
      </c>
      <c r="M11" s="94">
        <f>K11/$L$11</f>
        <v>0.18372674561367883</v>
      </c>
      <c r="N11" s="79">
        <f>('[1]Riepilogo'!G44-'[1]Riepilogo'!G4)/'[1]Riepilogo'!G4</f>
        <v>0.0717935394474757</v>
      </c>
      <c r="O11" s="15">
        <f>'[1]Riepilogo'!G44-'[1]Riepilogo'!G4</f>
        <v>92.11111111111131</v>
      </c>
      <c r="R11" s="143">
        <f aca="true" t="shared" si="7" ref="R11:R17">K11/220*5</f>
        <v>5.776417525773196</v>
      </c>
      <c r="S11" s="132"/>
      <c r="T11" s="180"/>
      <c r="U11" s="175">
        <f>R11+R14+R16</f>
        <v>13.280904404873478</v>
      </c>
      <c r="V11" s="225"/>
      <c r="W11" s="4" t="s">
        <v>5</v>
      </c>
      <c r="X11" s="89" t="s">
        <v>16</v>
      </c>
      <c r="Y11" s="146"/>
      <c r="Z11" s="143">
        <f>K11/220*5</f>
        <v>5.776417525773196</v>
      </c>
      <c r="AA11" s="149">
        <f>Z11+Z12+Z14+Z16+Z17</f>
        <v>27.24646204311153</v>
      </c>
      <c r="AB11" s="225"/>
      <c r="AC11" s="168" t="s">
        <v>5</v>
      </c>
      <c r="AD11" s="75">
        <v>2</v>
      </c>
      <c r="AE11" s="153" t="s">
        <v>16</v>
      </c>
      <c r="AF11" s="143">
        <v>5.776417525773196</v>
      </c>
      <c r="AG11" s="149">
        <f>AF12+AF13+AF17</f>
        <v>15.171989222118091</v>
      </c>
    </row>
    <row r="12" spans="1:33" ht="12.75">
      <c r="A12" s="230"/>
      <c r="B12" s="173" t="s">
        <v>5</v>
      </c>
      <c r="C12" s="75">
        <v>1</v>
      </c>
      <c r="D12" s="112" t="s">
        <v>17</v>
      </c>
      <c r="E12" s="6">
        <v>159</v>
      </c>
      <c r="F12" s="12">
        <v>268</v>
      </c>
      <c r="G12" s="12">
        <v>38</v>
      </c>
      <c r="H12" s="69">
        <f t="shared" si="0"/>
        <v>26.599999999999998</v>
      </c>
      <c r="I12" s="12">
        <v>8</v>
      </c>
      <c r="J12" s="77">
        <f t="shared" si="1"/>
        <v>499.6</v>
      </c>
      <c r="K12" s="81">
        <f t="shared" si="6"/>
        <v>570.7690721649485</v>
      </c>
      <c r="L12" s="81"/>
      <c r="M12" s="94">
        <f aca="true" t="shared" si="8" ref="M12:M17">K12/$L$11</f>
        <v>0.41259272038546196</v>
      </c>
      <c r="N12" s="80"/>
      <c r="O12" s="54"/>
      <c r="R12" s="143">
        <f t="shared" si="7"/>
        <v>12.972024367385194</v>
      </c>
      <c r="S12" s="132"/>
      <c r="T12" s="180"/>
      <c r="U12" s="177">
        <f>R12+R17</f>
        <v>13.965557638238053</v>
      </c>
      <c r="V12" s="225"/>
      <c r="W12" s="4" t="s">
        <v>5</v>
      </c>
      <c r="X12" s="89" t="s">
        <v>17</v>
      </c>
      <c r="Y12" s="146">
        <v>0.15</v>
      </c>
      <c r="Z12" s="143">
        <f aca="true" t="shared" si="9" ref="Z12:Z17">K12/220*5</f>
        <v>12.972024367385194</v>
      </c>
      <c r="AA12" s="8"/>
      <c r="AB12" s="225"/>
      <c r="AC12" s="168" t="s">
        <v>5</v>
      </c>
      <c r="AD12" s="75">
        <v>1</v>
      </c>
      <c r="AE12" s="152" t="s">
        <v>17</v>
      </c>
      <c r="AF12" s="143">
        <v>12.972024367385194</v>
      </c>
      <c r="AG12" s="150">
        <f>AF11+AF14+AF15+AF16</f>
        <v>16.2682755388941</v>
      </c>
    </row>
    <row r="13" spans="1:33" ht="12.75">
      <c r="A13" s="230"/>
      <c r="B13" s="173" t="s">
        <v>5</v>
      </c>
      <c r="C13" s="75">
        <v>3</v>
      </c>
      <c r="D13" s="113" t="s">
        <v>18</v>
      </c>
      <c r="E13" s="6">
        <v>21</v>
      </c>
      <c r="F13" s="12">
        <v>7</v>
      </c>
      <c r="G13" s="12">
        <v>9</v>
      </c>
      <c r="H13" s="69">
        <f t="shared" si="0"/>
        <v>6.3</v>
      </c>
      <c r="I13" s="12">
        <v>2</v>
      </c>
      <c r="J13" s="77">
        <f t="shared" si="1"/>
        <v>45.3</v>
      </c>
      <c r="K13" s="81">
        <f t="shared" si="6"/>
        <v>53.082989690721654</v>
      </c>
      <c r="L13" s="81"/>
      <c r="M13" s="94">
        <f t="shared" si="8"/>
        <v>0.038372182710626694</v>
      </c>
      <c r="N13" s="80"/>
      <c r="O13" s="54"/>
      <c r="R13" s="143">
        <f t="shared" si="7"/>
        <v>1.2064315838800375</v>
      </c>
      <c r="S13" s="132"/>
      <c r="T13" s="180"/>
      <c r="U13" s="54"/>
      <c r="V13" s="225"/>
      <c r="W13" s="4" t="s">
        <v>5</v>
      </c>
      <c r="X13" s="100" t="s">
        <v>18</v>
      </c>
      <c r="Y13" s="146"/>
      <c r="Z13" s="143">
        <f t="shared" si="9"/>
        <v>1.2064315838800375</v>
      </c>
      <c r="AA13" s="8"/>
      <c r="AB13" s="225"/>
      <c r="AC13" s="168" t="s">
        <v>5</v>
      </c>
      <c r="AD13" s="75">
        <v>3</v>
      </c>
      <c r="AE13" s="154" t="s">
        <v>18</v>
      </c>
      <c r="AF13" s="143">
        <v>1.2064315838800375</v>
      </c>
      <c r="AG13" s="8"/>
    </row>
    <row r="14" spans="1:33" ht="12.75">
      <c r="A14" s="230"/>
      <c r="B14" s="173" t="s">
        <v>5</v>
      </c>
      <c r="C14" s="75">
        <v>4</v>
      </c>
      <c r="D14" s="104" t="s">
        <v>19</v>
      </c>
      <c r="E14" s="6">
        <v>26</v>
      </c>
      <c r="F14" s="12">
        <v>18</v>
      </c>
      <c r="G14" s="12">
        <v>5</v>
      </c>
      <c r="H14" s="69">
        <f t="shared" si="0"/>
        <v>3.5</v>
      </c>
      <c r="I14" s="12">
        <v>3</v>
      </c>
      <c r="J14" s="77">
        <f t="shared" si="1"/>
        <v>55.5</v>
      </c>
      <c r="K14" s="81">
        <f t="shared" si="6"/>
        <v>117.99742268041238</v>
      </c>
      <c r="L14" s="81"/>
      <c r="M14" s="94">
        <f t="shared" si="8"/>
        <v>0.08529697910491363</v>
      </c>
      <c r="N14" s="80"/>
      <c r="O14" s="54"/>
      <c r="R14" s="143">
        <f t="shared" si="7"/>
        <v>2.6817596063730087</v>
      </c>
      <c r="S14" s="132"/>
      <c r="T14" s="180"/>
      <c r="U14" s="54"/>
      <c r="V14" s="225"/>
      <c r="W14" s="4" t="s">
        <v>5</v>
      </c>
      <c r="X14" s="89" t="s">
        <v>19</v>
      </c>
      <c r="Y14" s="146"/>
      <c r="Z14" s="143">
        <f t="shared" si="9"/>
        <v>2.6817596063730087</v>
      </c>
      <c r="AA14" s="8"/>
      <c r="AB14" s="225"/>
      <c r="AC14" s="168" t="s">
        <v>5</v>
      </c>
      <c r="AD14" s="75">
        <v>4</v>
      </c>
      <c r="AE14" s="153" t="s">
        <v>19</v>
      </c>
      <c r="AF14" s="143">
        <v>2.6817596063730087</v>
      </c>
      <c r="AG14" s="8"/>
    </row>
    <row r="15" spans="1:33" ht="12.75">
      <c r="A15" s="230"/>
      <c r="B15" s="173" t="s">
        <v>5</v>
      </c>
      <c r="C15" s="75">
        <v>5</v>
      </c>
      <c r="D15" s="113" t="s">
        <v>20</v>
      </c>
      <c r="E15" s="6">
        <v>126</v>
      </c>
      <c r="F15" s="12">
        <v>31</v>
      </c>
      <c r="G15" s="12">
        <v>38</v>
      </c>
      <c r="H15" s="69">
        <f t="shared" si="0"/>
        <v>26.599999999999998</v>
      </c>
      <c r="I15" s="12">
        <v>9</v>
      </c>
      <c r="J15" s="77">
        <f t="shared" si="1"/>
        <v>230.6</v>
      </c>
      <c r="K15" s="81">
        <f t="shared" si="6"/>
        <v>131.44432989690722</v>
      </c>
      <c r="L15" s="81"/>
      <c r="M15" s="94">
        <f t="shared" si="8"/>
        <v>0.09501736568469163</v>
      </c>
      <c r="N15" s="80"/>
      <c r="O15" s="54"/>
      <c r="R15" s="143">
        <f t="shared" si="7"/>
        <v>2.987371134020619</v>
      </c>
      <c r="S15" s="132"/>
      <c r="T15" s="180"/>
      <c r="U15" s="54"/>
      <c r="V15" s="225"/>
      <c r="W15" s="4" t="s">
        <v>5</v>
      </c>
      <c r="X15" s="100" t="s">
        <v>20</v>
      </c>
      <c r="Y15" s="146"/>
      <c r="Z15" s="143">
        <f t="shared" si="9"/>
        <v>2.987371134020619</v>
      </c>
      <c r="AA15" s="8"/>
      <c r="AB15" s="225"/>
      <c r="AC15" s="168" t="s">
        <v>5</v>
      </c>
      <c r="AD15" s="75">
        <v>5</v>
      </c>
      <c r="AE15" s="170" t="s">
        <v>20</v>
      </c>
      <c r="AF15" s="143">
        <v>2.987371134020619</v>
      </c>
      <c r="AG15" s="8"/>
    </row>
    <row r="16" spans="1:33" ht="12.75">
      <c r="A16" s="230"/>
      <c r="B16" s="173" t="s">
        <v>5</v>
      </c>
      <c r="C16" s="75">
        <v>6</v>
      </c>
      <c r="D16" s="104" t="s">
        <v>21</v>
      </c>
      <c r="E16" s="6">
        <v>86</v>
      </c>
      <c r="F16" s="12">
        <v>49</v>
      </c>
      <c r="G16" s="12">
        <v>32</v>
      </c>
      <c r="H16" s="69">
        <f t="shared" si="0"/>
        <v>22.4</v>
      </c>
      <c r="I16" s="12">
        <v>7</v>
      </c>
      <c r="J16" s="77">
        <f t="shared" si="1"/>
        <v>196.4</v>
      </c>
      <c r="K16" s="81">
        <f t="shared" si="6"/>
        <v>212.20000000000005</v>
      </c>
      <c r="L16" s="81"/>
      <c r="M16" s="94">
        <f t="shared" si="8"/>
        <v>0.15339334160785265</v>
      </c>
      <c r="N16" s="80"/>
      <c r="O16" s="54"/>
      <c r="R16" s="143">
        <f t="shared" si="7"/>
        <v>4.822727272727273</v>
      </c>
      <c r="S16" s="132"/>
      <c r="T16" s="180"/>
      <c r="U16" s="54"/>
      <c r="V16" s="225"/>
      <c r="W16" s="4" t="s">
        <v>5</v>
      </c>
      <c r="X16" s="89" t="s">
        <v>21</v>
      </c>
      <c r="Y16" s="146">
        <v>-0.15</v>
      </c>
      <c r="Z16" s="143">
        <f t="shared" si="9"/>
        <v>4.822727272727273</v>
      </c>
      <c r="AA16" s="8"/>
      <c r="AB16" s="225"/>
      <c r="AC16" s="168" t="s">
        <v>5</v>
      </c>
      <c r="AD16" s="75">
        <v>6</v>
      </c>
      <c r="AE16" s="153" t="s">
        <v>21</v>
      </c>
      <c r="AF16" s="143">
        <v>4.822727272727273</v>
      </c>
      <c r="AG16" s="8"/>
    </row>
    <row r="17" spans="1:33" ht="12.75">
      <c r="A17" s="230"/>
      <c r="B17" s="173" t="s">
        <v>5</v>
      </c>
      <c r="C17" s="75">
        <v>7</v>
      </c>
      <c r="D17" s="112" t="s">
        <v>22</v>
      </c>
      <c r="E17" s="10">
        <v>18</v>
      </c>
      <c r="F17" s="12">
        <v>7</v>
      </c>
      <c r="G17" s="12">
        <v>2</v>
      </c>
      <c r="H17" s="69">
        <f t="shared" si="0"/>
        <v>1.4</v>
      </c>
      <c r="I17" s="12">
        <v>2</v>
      </c>
      <c r="J17" s="77">
        <f t="shared" si="1"/>
        <v>30.4</v>
      </c>
      <c r="K17" s="81">
        <f t="shared" si="6"/>
        <v>43.71546391752578</v>
      </c>
      <c r="L17" s="81"/>
      <c r="M17" s="94">
        <f t="shared" si="8"/>
        <v>0.03160066489277468</v>
      </c>
      <c r="N17" s="80"/>
      <c r="O17" s="54"/>
      <c r="R17" s="143">
        <f t="shared" si="7"/>
        <v>0.9935332708528587</v>
      </c>
      <c r="S17" s="132"/>
      <c r="T17" s="180"/>
      <c r="U17" s="54"/>
      <c r="V17" s="225"/>
      <c r="W17" s="4" t="s">
        <v>5</v>
      </c>
      <c r="X17" s="89" t="s">
        <v>22</v>
      </c>
      <c r="Z17" s="143">
        <f t="shared" si="9"/>
        <v>0.9935332708528587</v>
      </c>
      <c r="AA17" s="8"/>
      <c r="AB17" s="225"/>
      <c r="AC17" s="168" t="s">
        <v>5</v>
      </c>
      <c r="AD17" s="75">
        <v>7</v>
      </c>
      <c r="AE17" s="152" t="s">
        <v>22</v>
      </c>
      <c r="AF17" s="143">
        <v>0.9935332708528587</v>
      </c>
      <c r="AG17" s="8"/>
    </row>
    <row r="18" spans="1:33" ht="12.75">
      <c r="A18" s="230"/>
      <c r="B18" s="126"/>
      <c r="C18" s="75"/>
      <c r="D18" s="57"/>
      <c r="E18" s="120"/>
      <c r="F18" s="121"/>
      <c r="G18" s="121"/>
      <c r="H18" s="122"/>
      <c r="I18" s="121"/>
      <c r="J18" s="123"/>
      <c r="K18" s="124"/>
      <c r="L18" s="124"/>
      <c r="M18" s="125"/>
      <c r="N18" s="119"/>
      <c r="O18" s="57"/>
      <c r="P18" s="57"/>
      <c r="R18" s="129"/>
      <c r="S18" s="132"/>
      <c r="T18" s="180"/>
      <c r="U18" s="54"/>
      <c r="V18" s="225"/>
      <c r="W18" s="126"/>
      <c r="X18" s="57"/>
      <c r="Z18" s="8"/>
      <c r="AA18" s="8"/>
      <c r="AB18" s="225"/>
      <c r="AD18" s="75"/>
      <c r="AF18" s="8"/>
      <c r="AG18" s="8"/>
    </row>
    <row r="19" spans="1:33" ht="12.75">
      <c r="A19" s="230"/>
      <c r="B19" s="173" t="s">
        <v>7</v>
      </c>
      <c r="C19" s="75">
        <v>2</v>
      </c>
      <c r="D19" s="111" t="s">
        <v>23</v>
      </c>
      <c r="E19" s="6">
        <v>64</v>
      </c>
      <c r="F19" s="12">
        <v>5</v>
      </c>
      <c r="G19" s="12">
        <v>8</v>
      </c>
      <c r="H19" s="69">
        <f t="shared" si="0"/>
        <v>5.6</v>
      </c>
      <c r="I19" s="12">
        <v>6</v>
      </c>
      <c r="J19" s="77">
        <f t="shared" si="1"/>
        <v>88.6</v>
      </c>
      <c r="K19" s="82">
        <f aca="true" t="shared" si="10" ref="K19:K25">(J19+J77)/2</f>
        <v>89.33092783505154</v>
      </c>
      <c r="L19" s="82">
        <f>SUM(K19:K25)</f>
        <v>2422.1958762886597</v>
      </c>
      <c r="M19" s="95">
        <f>K19/$L$19</f>
        <v>0.036880141985843974</v>
      </c>
      <c r="N19" s="79">
        <f>('[1]Riepilogo'!G45-'[1]Riepilogo'!G5)/'[1]Riepilogo'!G5</f>
        <v>-0.07946840249525347</v>
      </c>
      <c r="O19" s="15">
        <f>'[1]Riepilogo'!G45-'[1]Riepilogo'!G5</f>
        <v>-195.33333333333303</v>
      </c>
      <c r="R19" s="143">
        <f aca="true" t="shared" si="11" ref="R19:R61">K19/220*5</f>
        <v>2.030248359887535</v>
      </c>
      <c r="S19" s="133">
        <v>2.030248359887535</v>
      </c>
      <c r="T19" s="180"/>
      <c r="U19" s="175">
        <f>S21+S25+S22</f>
        <v>14.855205908661137</v>
      </c>
      <c r="V19" s="225"/>
      <c r="W19" s="4" t="s">
        <v>7</v>
      </c>
      <c r="X19" s="89" t="s">
        <v>23</v>
      </c>
      <c r="Z19" s="143">
        <f>K19/220*5</f>
        <v>2.030248359887535</v>
      </c>
      <c r="AA19" s="149">
        <f>Z21+Z20+Z22*1/5+Z19+Z25</f>
        <v>27.57649015932521</v>
      </c>
      <c r="AB19" s="225"/>
      <c r="AC19" s="168" t="s">
        <v>7</v>
      </c>
      <c r="AD19" s="75">
        <v>2</v>
      </c>
      <c r="AE19" s="171" t="s">
        <v>23</v>
      </c>
      <c r="AF19" s="143">
        <v>2.030248359887535</v>
      </c>
      <c r="AG19" s="151">
        <f>Z22</f>
        <v>18.525492033739457</v>
      </c>
    </row>
    <row r="20" spans="1:33" ht="12.75">
      <c r="A20" s="230"/>
      <c r="B20" s="173" t="s">
        <v>7</v>
      </c>
      <c r="C20" s="75">
        <v>3</v>
      </c>
      <c r="D20" s="112" t="s">
        <v>24</v>
      </c>
      <c r="E20" s="6">
        <v>53</v>
      </c>
      <c r="F20" s="12">
        <v>10</v>
      </c>
      <c r="G20" s="12">
        <v>10</v>
      </c>
      <c r="H20" s="69">
        <f t="shared" si="0"/>
        <v>7</v>
      </c>
      <c r="I20" s="12">
        <v>5</v>
      </c>
      <c r="J20" s="77">
        <f t="shared" si="1"/>
        <v>85</v>
      </c>
      <c r="K20" s="82">
        <f t="shared" si="10"/>
        <v>93.40721649484536</v>
      </c>
      <c r="L20" s="82"/>
      <c r="M20" s="95">
        <f aca="true" t="shared" si="12" ref="M20:M25">K20/$L$19</f>
        <v>0.038563031755287226</v>
      </c>
      <c r="N20" s="80"/>
      <c r="O20" s="54"/>
      <c r="R20" s="143">
        <f t="shared" si="11"/>
        <v>2.1228912839737584</v>
      </c>
      <c r="S20" s="133">
        <v>2.1228912839737584</v>
      </c>
      <c r="T20" s="180"/>
      <c r="U20" s="178">
        <f>T22+S19</f>
        <v>14.948618175699918</v>
      </c>
      <c r="V20" s="225"/>
      <c r="W20" s="4" t="s">
        <v>7</v>
      </c>
      <c r="X20" s="89" t="s">
        <v>24</v>
      </c>
      <c r="Z20" s="143">
        <f aca="true" t="shared" si="13" ref="Z20:Z25">K20/220*5</f>
        <v>2.1228912839737584</v>
      </c>
      <c r="AA20" s="150">
        <f>Z23+Z24+Z22*4/5</f>
        <v>27.473416119962515</v>
      </c>
      <c r="AB20" s="225"/>
      <c r="AC20" s="168" t="s">
        <v>7</v>
      </c>
      <c r="AD20" s="75">
        <v>3</v>
      </c>
      <c r="AE20" s="171" t="s">
        <v>24</v>
      </c>
      <c r="AF20" s="143">
        <v>2.1228912839737584</v>
      </c>
      <c r="AG20" s="150">
        <f>AF21+AF25</f>
        <v>19.71825210871603</v>
      </c>
    </row>
    <row r="21" spans="1:33" ht="12.75">
      <c r="A21" s="230"/>
      <c r="B21" s="173" t="s">
        <v>7</v>
      </c>
      <c r="C21" s="75">
        <v>4</v>
      </c>
      <c r="D21" s="104" t="s">
        <v>25</v>
      </c>
      <c r="E21" s="6">
        <v>430</v>
      </c>
      <c r="F21" s="12">
        <v>129</v>
      </c>
      <c r="G21" s="12">
        <v>74</v>
      </c>
      <c r="H21" s="69">
        <f t="shared" si="0"/>
        <v>51.8</v>
      </c>
      <c r="I21" s="12">
        <v>19</v>
      </c>
      <c r="J21" s="77">
        <f t="shared" si="1"/>
        <v>703.8</v>
      </c>
      <c r="K21" s="82">
        <f t="shared" si="10"/>
        <v>732.2505154639175</v>
      </c>
      <c r="L21" s="82"/>
      <c r="M21" s="95">
        <f t="shared" si="12"/>
        <v>0.30230854681574615</v>
      </c>
      <c r="N21" s="80"/>
      <c r="O21" s="54"/>
      <c r="P21" s="127" t="s">
        <v>138</v>
      </c>
      <c r="Q21" s="102" t="s">
        <v>140</v>
      </c>
      <c r="R21" s="143">
        <f t="shared" si="11"/>
        <v>16.64205716963449</v>
      </c>
      <c r="S21" s="131">
        <f>R21*11.2/30.2</f>
        <v>6.171888751652526</v>
      </c>
      <c r="T21" s="181">
        <f>R21-S21</f>
        <v>10.470168417981965</v>
      </c>
      <c r="U21" s="177">
        <f>R20+R23+R24</f>
        <v>14.775913776944705</v>
      </c>
      <c r="V21" s="225"/>
      <c r="W21" s="4" t="s">
        <v>7</v>
      </c>
      <c r="X21" s="89" t="s">
        <v>25</v>
      </c>
      <c r="Z21" s="143">
        <f t="shared" si="13"/>
        <v>16.64205716963449</v>
      </c>
      <c r="AA21" s="8"/>
      <c r="AB21" s="225"/>
      <c r="AC21" s="168" t="s">
        <v>7</v>
      </c>
      <c r="AD21" s="75">
        <v>4</v>
      </c>
      <c r="AE21" s="153" t="s">
        <v>25</v>
      </c>
      <c r="AF21" s="143">
        <v>16.64205716963449</v>
      </c>
      <c r="AG21" s="156">
        <f>AF19+AF20+AF23+AF24</f>
        <v>16.806162136832242</v>
      </c>
    </row>
    <row r="22" spans="1:33" ht="12.75">
      <c r="A22" s="230"/>
      <c r="B22" s="173" t="s">
        <v>7</v>
      </c>
      <c r="C22" s="75">
        <v>1</v>
      </c>
      <c r="D22" s="111" t="s">
        <v>26</v>
      </c>
      <c r="E22" s="6">
        <v>514</v>
      </c>
      <c r="F22" s="12">
        <v>179</v>
      </c>
      <c r="G22" s="12">
        <v>64</v>
      </c>
      <c r="H22" s="69">
        <f t="shared" si="0"/>
        <v>44.8</v>
      </c>
      <c r="I22" s="12">
        <v>43</v>
      </c>
      <c r="J22" s="77">
        <f t="shared" si="1"/>
        <v>844.8</v>
      </c>
      <c r="K22" s="82">
        <f t="shared" si="10"/>
        <v>815.1216494845361</v>
      </c>
      <c r="L22" s="82"/>
      <c r="M22" s="95">
        <f t="shared" si="12"/>
        <v>0.3365217724395943</v>
      </c>
      <c r="N22" s="80"/>
      <c r="O22" s="54"/>
      <c r="P22" s="128">
        <v>0.102</v>
      </c>
      <c r="Q22" s="103" t="s">
        <v>139</v>
      </c>
      <c r="R22" s="143">
        <f t="shared" si="11"/>
        <v>18.525492033739457</v>
      </c>
      <c r="S22" s="131">
        <f>R22*10.2/33.7</f>
        <v>5.607122217927075</v>
      </c>
      <c r="T22" s="182">
        <f>R22-S22</f>
        <v>12.918369815812383</v>
      </c>
      <c r="U22" s="54"/>
      <c r="V22" s="225"/>
      <c r="W22" s="4" t="s">
        <v>7</v>
      </c>
      <c r="X22" s="99" t="s">
        <v>26</v>
      </c>
      <c r="Z22" s="143">
        <f t="shared" si="13"/>
        <v>18.525492033739457</v>
      </c>
      <c r="AA22" s="8"/>
      <c r="AB22" s="225"/>
      <c r="AC22" s="168" t="s">
        <v>7</v>
      </c>
      <c r="AD22" s="75">
        <v>1</v>
      </c>
      <c r="AE22" s="152" t="s">
        <v>26</v>
      </c>
      <c r="AF22" s="143">
        <v>18.525492033739457</v>
      </c>
      <c r="AG22" s="8"/>
    </row>
    <row r="23" spans="1:33" ht="12.75">
      <c r="A23" s="230"/>
      <c r="B23" s="173" t="s">
        <v>7</v>
      </c>
      <c r="C23" s="75">
        <v>5</v>
      </c>
      <c r="D23" s="112" t="s">
        <v>27</v>
      </c>
      <c r="E23" s="6">
        <v>205</v>
      </c>
      <c r="F23" s="12">
        <v>64</v>
      </c>
      <c r="G23" s="12">
        <v>22</v>
      </c>
      <c r="H23" s="69">
        <f t="shared" si="0"/>
        <v>15.399999999999999</v>
      </c>
      <c r="I23" s="12">
        <v>17</v>
      </c>
      <c r="J23" s="77">
        <f t="shared" si="1"/>
        <v>323.4</v>
      </c>
      <c r="K23" s="82">
        <f t="shared" si="10"/>
        <v>393.4731958762886</v>
      </c>
      <c r="L23" s="82"/>
      <c r="M23" s="95">
        <f t="shared" si="12"/>
        <v>0.1624448293914102</v>
      </c>
      <c r="N23" s="80"/>
      <c r="O23" s="54"/>
      <c r="R23" s="143">
        <f t="shared" si="11"/>
        <v>8.942572633552015</v>
      </c>
      <c r="S23" s="133">
        <v>8.942572633552015</v>
      </c>
      <c r="T23" s="180"/>
      <c r="U23" s="54"/>
      <c r="V23" s="225"/>
      <c r="W23" s="4" t="s">
        <v>7</v>
      </c>
      <c r="X23" s="99" t="s">
        <v>27</v>
      </c>
      <c r="Z23" s="143">
        <f t="shared" si="13"/>
        <v>8.942572633552015</v>
      </c>
      <c r="AA23" s="8"/>
      <c r="AB23" s="225"/>
      <c r="AC23" s="168" t="s">
        <v>7</v>
      </c>
      <c r="AD23" s="75">
        <v>5</v>
      </c>
      <c r="AE23" s="171" t="s">
        <v>27</v>
      </c>
      <c r="AF23" s="143">
        <v>8.942572633552015</v>
      </c>
      <c r="AG23" s="8"/>
    </row>
    <row r="24" spans="1:33" ht="12.75">
      <c r="A24" s="230"/>
      <c r="B24" s="173" t="s">
        <v>7</v>
      </c>
      <c r="C24" s="75">
        <v>6</v>
      </c>
      <c r="D24" s="112" t="s">
        <v>28</v>
      </c>
      <c r="E24" s="6">
        <v>94</v>
      </c>
      <c r="F24" s="12">
        <v>22</v>
      </c>
      <c r="G24" s="12">
        <v>6</v>
      </c>
      <c r="H24" s="69">
        <f t="shared" si="0"/>
        <v>4.199999999999999</v>
      </c>
      <c r="I24" s="12">
        <v>3</v>
      </c>
      <c r="J24" s="77">
        <f t="shared" si="1"/>
        <v>129.2</v>
      </c>
      <c r="K24" s="82">
        <f t="shared" si="10"/>
        <v>163.259793814433</v>
      </c>
      <c r="L24" s="82"/>
      <c r="M24" s="95">
        <f t="shared" si="12"/>
        <v>0.06740156541946689</v>
      </c>
      <c r="N24" s="80"/>
      <c r="O24" s="54"/>
      <c r="R24" s="143">
        <f t="shared" si="11"/>
        <v>3.710449859418932</v>
      </c>
      <c r="S24" s="133">
        <v>3.710449859418932</v>
      </c>
      <c r="T24" s="180"/>
      <c r="U24" s="54"/>
      <c r="V24" s="225"/>
      <c r="W24" s="4" t="s">
        <v>7</v>
      </c>
      <c r="X24" s="99" t="s">
        <v>28</v>
      </c>
      <c r="Z24" s="143">
        <f t="shared" si="13"/>
        <v>3.710449859418932</v>
      </c>
      <c r="AA24" s="8"/>
      <c r="AB24" s="225"/>
      <c r="AC24" s="168" t="s">
        <v>7</v>
      </c>
      <c r="AD24" s="75">
        <v>6</v>
      </c>
      <c r="AE24" s="171" t="s">
        <v>28</v>
      </c>
      <c r="AF24" s="143">
        <v>3.710449859418932</v>
      </c>
      <c r="AG24" s="8"/>
    </row>
    <row r="25" spans="1:33" ht="12.75">
      <c r="A25" s="230"/>
      <c r="B25" s="173" t="s">
        <v>7</v>
      </c>
      <c r="C25" s="75">
        <v>7</v>
      </c>
      <c r="D25" s="104" t="s">
        <v>29</v>
      </c>
      <c r="E25" s="6">
        <v>90</v>
      </c>
      <c r="F25" s="12">
        <v>19</v>
      </c>
      <c r="G25" s="12">
        <v>6</v>
      </c>
      <c r="H25" s="69">
        <f t="shared" si="0"/>
        <v>4.199999999999999</v>
      </c>
      <c r="I25" s="12">
        <v>8</v>
      </c>
      <c r="J25" s="77">
        <f t="shared" si="1"/>
        <v>127.2</v>
      </c>
      <c r="K25" s="82">
        <f t="shared" si="10"/>
        <v>135.35257731958762</v>
      </c>
      <c r="L25" s="82"/>
      <c r="M25" s="95">
        <f t="shared" si="12"/>
        <v>0.05588011219265129</v>
      </c>
      <c r="N25" s="80"/>
      <c r="O25" s="54"/>
      <c r="R25" s="143">
        <f t="shared" si="11"/>
        <v>3.076194939081537</v>
      </c>
      <c r="S25" s="133">
        <v>3.076194939081537</v>
      </c>
      <c r="T25" s="180"/>
      <c r="U25" s="54"/>
      <c r="V25" s="225"/>
      <c r="W25" s="4" t="s">
        <v>7</v>
      </c>
      <c r="X25" s="89" t="s">
        <v>29</v>
      </c>
      <c r="Z25" s="143">
        <f t="shared" si="13"/>
        <v>3.076194939081537</v>
      </c>
      <c r="AA25" s="8"/>
      <c r="AB25" s="225"/>
      <c r="AC25" s="168" t="s">
        <v>7</v>
      </c>
      <c r="AD25" s="75">
        <v>7</v>
      </c>
      <c r="AE25" s="153" t="s">
        <v>29</v>
      </c>
      <c r="AF25" s="143">
        <v>3.076194939081537</v>
      </c>
      <c r="AG25" s="8"/>
    </row>
    <row r="26" spans="1:33" ht="12.75">
      <c r="A26" s="230"/>
      <c r="B26" s="173"/>
      <c r="C26" s="75"/>
      <c r="D26" s="62"/>
      <c r="E26" s="6"/>
      <c r="F26" s="12"/>
      <c r="G26" s="12"/>
      <c r="H26" s="69"/>
      <c r="I26" s="12"/>
      <c r="J26" s="114"/>
      <c r="K26" s="115"/>
      <c r="L26" s="115"/>
      <c r="M26" s="116"/>
      <c r="N26" s="80"/>
      <c r="O26" s="54"/>
      <c r="S26" s="132"/>
      <c r="T26" s="180"/>
      <c r="U26" s="54"/>
      <c r="V26" s="225"/>
      <c r="W26" s="4"/>
      <c r="X26" s="5"/>
      <c r="Z26" s="8"/>
      <c r="AA26" s="8"/>
      <c r="AB26" s="225"/>
      <c r="AD26" s="75"/>
      <c r="AF26" s="8"/>
      <c r="AG26" s="8"/>
    </row>
    <row r="27" spans="1:33" ht="12.75">
      <c r="A27" s="230"/>
      <c r="B27" s="173" t="s">
        <v>9</v>
      </c>
      <c r="C27" s="75">
        <v>2</v>
      </c>
      <c r="D27" s="111" t="s">
        <v>30</v>
      </c>
      <c r="E27" s="6">
        <v>53</v>
      </c>
      <c r="F27" s="13">
        <v>0</v>
      </c>
      <c r="G27" s="12">
        <v>18</v>
      </c>
      <c r="H27" s="69">
        <f t="shared" si="0"/>
        <v>12.6</v>
      </c>
      <c r="I27" s="12">
        <v>10</v>
      </c>
      <c r="J27" s="77">
        <f t="shared" si="1"/>
        <v>93.6</v>
      </c>
      <c r="K27" s="83">
        <f aca="true" t="shared" si="14" ref="K27:K45">(J27+J84)/2</f>
        <v>110.44948453608248</v>
      </c>
      <c r="L27" s="83">
        <f>SUM(K27:K45)</f>
        <v>1850.1438144329895</v>
      </c>
      <c r="M27" s="96">
        <f>K27/$L$27</f>
        <v>0.05969778331525636</v>
      </c>
      <c r="N27" s="79">
        <f>('[1]Riepilogo'!G46-'[1]Riepilogo'!G6)/'[1]Riepilogo'!G6</f>
        <v>0.05674742946596939</v>
      </c>
      <c r="O27" s="15">
        <f>'[1]Riepilogo'!G46-'[1]Riepilogo'!G6</f>
        <v>118.14814814814827</v>
      </c>
      <c r="R27" s="143">
        <f t="shared" si="11"/>
        <v>2.5102155576382383</v>
      </c>
      <c r="S27" s="132"/>
      <c r="T27" s="180"/>
      <c r="U27" s="175">
        <f>R38+R41+R42</f>
        <v>13.568498125585755</v>
      </c>
      <c r="V27" s="225"/>
      <c r="W27" s="4" t="s">
        <v>9</v>
      </c>
      <c r="X27" s="99" t="s">
        <v>30</v>
      </c>
      <c r="Z27" s="143">
        <f>K27/220*5</f>
        <v>2.5102155576382383</v>
      </c>
      <c r="AA27" s="149">
        <f>SUM(Z27:Z45)-AA28</f>
        <v>17.255728678537956</v>
      </c>
      <c r="AB27" s="225"/>
      <c r="AC27" s="168" t="s">
        <v>9</v>
      </c>
      <c r="AD27" s="75">
        <v>2</v>
      </c>
      <c r="AE27" s="153" t="s">
        <v>30</v>
      </c>
      <c r="AF27" s="143">
        <v>2.5102155576382383</v>
      </c>
      <c r="AG27" s="149">
        <v>17.255728678537956</v>
      </c>
    </row>
    <row r="28" spans="1:33" ht="12.75">
      <c r="A28" s="230"/>
      <c r="B28" s="173" t="s">
        <v>9</v>
      </c>
      <c r="C28" s="75">
        <v>3</v>
      </c>
      <c r="D28" s="101" t="s">
        <v>31</v>
      </c>
      <c r="E28" s="6">
        <v>93</v>
      </c>
      <c r="F28" s="13">
        <v>0</v>
      </c>
      <c r="G28" s="12">
        <v>29</v>
      </c>
      <c r="H28" s="69">
        <f t="shared" si="0"/>
        <v>20.299999999999997</v>
      </c>
      <c r="I28" s="12">
        <v>5</v>
      </c>
      <c r="J28" s="77">
        <f t="shared" si="1"/>
        <v>147.3</v>
      </c>
      <c r="K28" s="83">
        <f t="shared" si="14"/>
        <v>152.45412371134023</v>
      </c>
      <c r="L28" s="83"/>
      <c r="M28" s="96">
        <f aca="true" t="shared" si="15" ref="M28:M45">K28/$L$27</f>
        <v>0.08240122877045782</v>
      </c>
      <c r="N28" s="80"/>
      <c r="O28" s="54"/>
      <c r="R28" s="166">
        <f t="shared" si="11"/>
        <v>3.464866447985005</v>
      </c>
      <c r="S28" s="132"/>
      <c r="T28" s="180"/>
      <c r="U28" s="178">
        <f>R27+R31+R43+R44</f>
        <v>12.300421743205249</v>
      </c>
      <c r="V28" s="225"/>
      <c r="W28" s="4" t="s">
        <v>9</v>
      </c>
      <c r="X28" s="99" t="s">
        <v>31</v>
      </c>
      <c r="Z28" s="143">
        <f aca="true" t="shared" si="16" ref="Z28:Z45">K28/220*5</f>
        <v>3.464866447985005</v>
      </c>
      <c r="AA28" s="150">
        <f>Z27+Z28+Z31+Z38+Z42+Z43+Z44</f>
        <v>24.792994376757264</v>
      </c>
      <c r="AB28" s="225"/>
      <c r="AC28" s="168" t="s">
        <v>9</v>
      </c>
      <c r="AD28" s="75">
        <v>3</v>
      </c>
      <c r="AE28" s="153" t="s">
        <v>31</v>
      </c>
      <c r="AF28" s="143">
        <v>3.464866447985005</v>
      </c>
      <c r="AG28" s="150">
        <v>24.792994376757264</v>
      </c>
    </row>
    <row r="29" spans="1:33" ht="12.75">
      <c r="A29" s="230"/>
      <c r="B29" s="173" t="s">
        <v>9</v>
      </c>
      <c r="C29" s="158">
        <v>2</v>
      </c>
      <c r="D29" s="112" t="s">
        <v>32</v>
      </c>
      <c r="E29" s="6">
        <v>56</v>
      </c>
      <c r="F29" s="13">
        <v>0</v>
      </c>
      <c r="G29" s="12">
        <v>13</v>
      </c>
      <c r="H29" s="69">
        <f t="shared" si="0"/>
        <v>9.1</v>
      </c>
      <c r="I29" s="12">
        <v>2</v>
      </c>
      <c r="J29" s="77">
        <f t="shared" si="1"/>
        <v>80.1</v>
      </c>
      <c r="K29" s="83">
        <f t="shared" si="14"/>
        <v>85.08092783505154</v>
      </c>
      <c r="L29" s="83"/>
      <c r="M29" s="96">
        <f t="shared" si="15"/>
        <v>0.04598611587452522</v>
      </c>
      <c r="N29" s="80"/>
      <c r="O29" s="54"/>
      <c r="R29" s="143">
        <f t="shared" si="11"/>
        <v>1.933657450796626</v>
      </c>
      <c r="S29" s="132"/>
      <c r="T29" s="180"/>
      <c r="U29" s="177">
        <f>R29+R30+R32+R33+R34+R35+R36+R37+R39+R40+R45</f>
        <v>12.714936738519215</v>
      </c>
      <c r="V29" s="225"/>
      <c r="W29" s="4" t="s">
        <v>9</v>
      </c>
      <c r="X29" s="89" t="s">
        <v>32</v>
      </c>
      <c r="Z29" s="143">
        <f t="shared" si="16"/>
        <v>1.933657450796626</v>
      </c>
      <c r="AA29" s="8"/>
      <c r="AB29" s="225"/>
      <c r="AC29" s="168" t="s">
        <v>9</v>
      </c>
      <c r="AD29" s="158">
        <v>2</v>
      </c>
      <c r="AE29" s="152" t="s">
        <v>32</v>
      </c>
      <c r="AF29" s="143">
        <v>1.933657450796626</v>
      </c>
      <c r="AG29" s="8"/>
    </row>
    <row r="30" spans="1:33" ht="12.75">
      <c r="A30" s="230"/>
      <c r="B30" s="173" t="s">
        <v>9</v>
      </c>
      <c r="C30" s="158">
        <v>3</v>
      </c>
      <c r="D30" s="112" t="s">
        <v>33</v>
      </c>
      <c r="E30" s="6">
        <v>42</v>
      </c>
      <c r="F30" s="13">
        <v>0</v>
      </c>
      <c r="G30" s="12">
        <v>4</v>
      </c>
      <c r="H30" s="69">
        <f t="shared" si="0"/>
        <v>2.8</v>
      </c>
      <c r="I30" s="12">
        <v>1</v>
      </c>
      <c r="J30" s="77">
        <f t="shared" si="1"/>
        <v>49.8</v>
      </c>
      <c r="K30" s="83">
        <f t="shared" si="14"/>
        <v>46.42577319587629</v>
      </c>
      <c r="L30" s="83"/>
      <c r="M30" s="96">
        <f t="shared" si="15"/>
        <v>0.02509306186562817</v>
      </c>
      <c r="N30" s="80"/>
      <c r="O30" s="54"/>
      <c r="R30" s="143">
        <f t="shared" si="11"/>
        <v>1.0551312089971885</v>
      </c>
      <c r="S30" s="132"/>
      <c r="T30" s="180"/>
      <c r="U30" s="54"/>
      <c r="V30" s="225"/>
      <c r="W30" s="4" t="s">
        <v>9</v>
      </c>
      <c r="X30" s="104" t="s">
        <v>33</v>
      </c>
      <c r="Z30" s="143">
        <f t="shared" si="16"/>
        <v>1.0551312089971885</v>
      </c>
      <c r="AA30" s="8"/>
      <c r="AB30" s="225"/>
      <c r="AC30" s="168" t="s">
        <v>9</v>
      </c>
      <c r="AD30" s="158">
        <v>3</v>
      </c>
      <c r="AE30" s="152" t="s">
        <v>33</v>
      </c>
      <c r="AF30" s="143">
        <v>1.0551312089971885</v>
      </c>
      <c r="AG30" s="8"/>
    </row>
    <row r="31" spans="1:33" ht="12.75">
      <c r="A31" s="230"/>
      <c r="B31" s="173" t="s">
        <v>9</v>
      </c>
      <c r="C31" s="75">
        <v>4</v>
      </c>
      <c r="D31" s="111" t="s">
        <v>34</v>
      </c>
      <c r="E31" s="6">
        <v>89</v>
      </c>
      <c r="F31" s="13">
        <v>0</v>
      </c>
      <c r="G31" s="12">
        <v>28</v>
      </c>
      <c r="H31" s="69">
        <f t="shared" si="0"/>
        <v>19.599999999999998</v>
      </c>
      <c r="I31" s="12">
        <v>10</v>
      </c>
      <c r="J31" s="77">
        <f t="shared" si="1"/>
        <v>146.6</v>
      </c>
      <c r="K31" s="83">
        <f t="shared" si="14"/>
        <v>146.1041237113402</v>
      </c>
      <c r="L31" s="83"/>
      <c r="M31" s="96">
        <f t="shared" si="15"/>
        <v>0.07896906314610819</v>
      </c>
      <c r="N31" s="80"/>
      <c r="O31" s="54"/>
      <c r="R31" s="143">
        <f t="shared" si="11"/>
        <v>3.320548266166823</v>
      </c>
      <c r="S31" s="132"/>
      <c r="T31" s="180"/>
      <c r="U31" s="54"/>
      <c r="V31" s="225"/>
      <c r="W31" s="4" t="s">
        <v>9</v>
      </c>
      <c r="X31" s="112" t="s">
        <v>34</v>
      </c>
      <c r="Z31" s="143">
        <f t="shared" si="16"/>
        <v>3.320548266166823</v>
      </c>
      <c r="AA31" s="8"/>
      <c r="AB31" s="225"/>
      <c r="AC31" s="168" t="s">
        <v>9</v>
      </c>
      <c r="AD31" s="75">
        <v>4</v>
      </c>
      <c r="AE31" s="153" t="s">
        <v>34</v>
      </c>
      <c r="AF31" s="143">
        <v>3.320548266166823</v>
      </c>
      <c r="AG31" s="8"/>
    </row>
    <row r="32" spans="1:33" ht="12.75">
      <c r="A32" s="230"/>
      <c r="B32" s="173" t="s">
        <v>9</v>
      </c>
      <c r="C32" s="158">
        <v>4</v>
      </c>
      <c r="D32" s="112" t="s">
        <v>35</v>
      </c>
      <c r="E32" s="6">
        <v>25</v>
      </c>
      <c r="F32" s="13">
        <v>0</v>
      </c>
      <c r="G32" s="12">
        <v>1</v>
      </c>
      <c r="H32" s="69">
        <f t="shared" si="0"/>
        <v>0.7</v>
      </c>
      <c r="I32" s="12">
        <v>4</v>
      </c>
      <c r="J32" s="77">
        <f t="shared" si="1"/>
        <v>30.7</v>
      </c>
      <c r="K32" s="83">
        <f t="shared" si="14"/>
        <v>26.91701030927835</v>
      </c>
      <c r="L32" s="83"/>
      <c r="M32" s="96">
        <f t="shared" si="15"/>
        <v>0.014548604329727504</v>
      </c>
      <c r="N32" s="80"/>
      <c r="O32" s="54"/>
      <c r="R32" s="143">
        <f t="shared" si="11"/>
        <v>0.6117502343017807</v>
      </c>
      <c r="S32" s="132"/>
      <c r="T32" s="180"/>
      <c r="U32" s="54"/>
      <c r="V32" s="225"/>
      <c r="W32" s="4" t="s">
        <v>9</v>
      </c>
      <c r="X32" s="104" t="s">
        <v>35</v>
      </c>
      <c r="Z32" s="143">
        <f t="shared" si="16"/>
        <v>0.6117502343017807</v>
      </c>
      <c r="AA32" s="8"/>
      <c r="AB32" s="225"/>
      <c r="AC32" s="168" t="s">
        <v>9</v>
      </c>
      <c r="AD32" s="158">
        <v>4</v>
      </c>
      <c r="AE32" s="152" t="s">
        <v>35</v>
      </c>
      <c r="AF32" s="143">
        <v>0.6117502343017807</v>
      </c>
      <c r="AG32" s="8"/>
    </row>
    <row r="33" spans="1:33" ht="12.75">
      <c r="A33" s="230"/>
      <c r="B33" s="173" t="s">
        <v>9</v>
      </c>
      <c r="C33" s="158">
        <v>5</v>
      </c>
      <c r="D33" s="112" t="s">
        <v>36</v>
      </c>
      <c r="E33" s="6">
        <v>30</v>
      </c>
      <c r="F33" s="13">
        <v>0</v>
      </c>
      <c r="G33" s="12">
        <v>13</v>
      </c>
      <c r="H33" s="69">
        <f t="shared" si="0"/>
        <v>9.1</v>
      </c>
      <c r="I33" s="12">
        <v>5</v>
      </c>
      <c r="J33" s="77">
        <f t="shared" si="1"/>
        <v>57.1</v>
      </c>
      <c r="K33" s="83">
        <f t="shared" si="14"/>
        <v>52.36443298969073</v>
      </c>
      <c r="L33" s="83"/>
      <c r="M33" s="96">
        <f t="shared" si="15"/>
        <v>0.02830289871587024</v>
      </c>
      <c r="N33" s="80"/>
      <c r="O33" s="54"/>
      <c r="R33" s="143">
        <f t="shared" si="11"/>
        <v>1.1901007497656984</v>
      </c>
      <c r="S33" s="132"/>
      <c r="T33" s="180"/>
      <c r="U33" s="54"/>
      <c r="V33" s="225"/>
      <c r="W33" s="4" t="s">
        <v>9</v>
      </c>
      <c r="X33" s="104" t="s">
        <v>36</v>
      </c>
      <c r="Z33" s="143">
        <f t="shared" si="16"/>
        <v>1.1901007497656984</v>
      </c>
      <c r="AA33" s="8"/>
      <c r="AB33" s="225"/>
      <c r="AC33" s="168" t="s">
        <v>9</v>
      </c>
      <c r="AD33" s="158">
        <v>5</v>
      </c>
      <c r="AE33" s="152" t="s">
        <v>36</v>
      </c>
      <c r="AF33" s="143">
        <v>1.1901007497656984</v>
      </c>
      <c r="AG33" s="8"/>
    </row>
    <row r="34" spans="1:33" ht="12.75">
      <c r="A34" s="230"/>
      <c r="B34" s="173" t="s">
        <v>9</v>
      </c>
      <c r="C34" s="158">
        <v>6</v>
      </c>
      <c r="D34" s="112" t="s">
        <v>37</v>
      </c>
      <c r="E34" s="6">
        <v>40</v>
      </c>
      <c r="F34" s="13">
        <v>0</v>
      </c>
      <c r="G34" s="12">
        <v>1</v>
      </c>
      <c r="H34" s="69">
        <f t="shared" si="0"/>
        <v>0.7</v>
      </c>
      <c r="I34" s="12">
        <v>0</v>
      </c>
      <c r="J34" s="77">
        <f t="shared" si="1"/>
        <v>41.7</v>
      </c>
      <c r="K34" s="83">
        <f t="shared" si="14"/>
        <v>38.231443298969076</v>
      </c>
      <c r="L34" s="83"/>
      <c r="M34" s="96">
        <f t="shared" si="15"/>
        <v>0.02066403865511709</v>
      </c>
      <c r="N34" s="80"/>
      <c r="O34" s="54"/>
      <c r="R34" s="143">
        <f t="shared" si="11"/>
        <v>0.8688964386129336</v>
      </c>
      <c r="S34" s="132"/>
      <c r="T34" s="180"/>
      <c r="U34" s="54"/>
      <c r="V34" s="225"/>
      <c r="W34" s="4" t="s">
        <v>9</v>
      </c>
      <c r="X34" s="104" t="s">
        <v>37</v>
      </c>
      <c r="Z34" s="143">
        <f t="shared" si="16"/>
        <v>0.8688964386129336</v>
      </c>
      <c r="AA34" s="8"/>
      <c r="AB34" s="225"/>
      <c r="AC34" s="168" t="s">
        <v>9</v>
      </c>
      <c r="AD34" s="158">
        <v>6</v>
      </c>
      <c r="AE34" s="152" t="s">
        <v>37</v>
      </c>
      <c r="AF34" s="143">
        <v>0.8688964386129336</v>
      </c>
      <c r="AG34" s="8"/>
    </row>
    <row r="35" spans="1:33" ht="12.75">
      <c r="A35" s="230"/>
      <c r="B35" s="173" t="s">
        <v>9</v>
      </c>
      <c r="C35" s="158">
        <v>7</v>
      </c>
      <c r="D35" s="112" t="s">
        <v>38</v>
      </c>
      <c r="E35" s="6">
        <v>7</v>
      </c>
      <c r="F35" s="13">
        <v>0</v>
      </c>
      <c r="G35" s="12">
        <v>1</v>
      </c>
      <c r="H35" s="69">
        <f t="shared" si="0"/>
        <v>0.7</v>
      </c>
      <c r="I35" s="12">
        <v>2</v>
      </c>
      <c r="J35" s="77">
        <f t="shared" si="1"/>
        <v>10.7</v>
      </c>
      <c r="K35" s="83">
        <f t="shared" si="14"/>
        <v>15.494329896907216</v>
      </c>
      <c r="L35" s="83"/>
      <c r="M35" s="96">
        <f t="shared" si="15"/>
        <v>0.008374662432204352</v>
      </c>
      <c r="N35" s="80"/>
      <c r="O35" s="54"/>
      <c r="R35" s="143">
        <f t="shared" si="11"/>
        <v>0.3521438612933458</v>
      </c>
      <c r="S35" s="132"/>
      <c r="T35" s="180"/>
      <c r="U35" s="54"/>
      <c r="V35" s="225"/>
      <c r="W35" s="4" t="s">
        <v>9</v>
      </c>
      <c r="X35" s="104" t="s">
        <v>38</v>
      </c>
      <c r="Z35" s="143">
        <f t="shared" si="16"/>
        <v>0.3521438612933458</v>
      </c>
      <c r="AA35" s="8"/>
      <c r="AB35" s="225"/>
      <c r="AC35" s="168" t="s">
        <v>9</v>
      </c>
      <c r="AD35" s="158">
        <v>7</v>
      </c>
      <c r="AE35" s="152" t="s">
        <v>38</v>
      </c>
      <c r="AF35" s="143">
        <v>0.3521438612933458</v>
      </c>
      <c r="AG35" s="8"/>
    </row>
    <row r="36" spans="1:33" ht="12.75">
      <c r="A36" s="230"/>
      <c r="B36" s="173" t="s">
        <v>9</v>
      </c>
      <c r="C36" s="158">
        <v>8</v>
      </c>
      <c r="D36" s="112" t="s">
        <v>39</v>
      </c>
      <c r="E36" s="6">
        <v>67</v>
      </c>
      <c r="F36" s="12">
        <v>1</v>
      </c>
      <c r="G36" s="12">
        <v>10</v>
      </c>
      <c r="H36" s="69">
        <f t="shared" si="0"/>
        <v>7</v>
      </c>
      <c r="I36" s="12">
        <v>3</v>
      </c>
      <c r="J36" s="77">
        <f t="shared" si="1"/>
        <v>88</v>
      </c>
      <c r="K36" s="83">
        <f t="shared" si="14"/>
        <v>104.55670103092785</v>
      </c>
      <c r="L36" s="83"/>
      <c r="M36" s="96">
        <f t="shared" si="15"/>
        <v>0.056512742531299474</v>
      </c>
      <c r="N36" s="80"/>
      <c r="O36" s="54"/>
      <c r="R36" s="143">
        <f t="shared" si="11"/>
        <v>2.376288659793815</v>
      </c>
      <c r="S36" s="132"/>
      <c r="T36" s="180"/>
      <c r="U36" s="54"/>
      <c r="V36" s="225"/>
      <c r="W36" s="4" t="s">
        <v>9</v>
      </c>
      <c r="X36" s="104" t="s">
        <v>39</v>
      </c>
      <c r="Z36" s="143">
        <f t="shared" si="16"/>
        <v>2.376288659793815</v>
      </c>
      <c r="AA36" s="8"/>
      <c r="AB36" s="225"/>
      <c r="AC36" s="168" t="s">
        <v>9</v>
      </c>
      <c r="AD36" s="158">
        <v>8</v>
      </c>
      <c r="AE36" s="152" t="s">
        <v>39</v>
      </c>
      <c r="AF36" s="143">
        <v>2.376288659793815</v>
      </c>
      <c r="AG36" s="8"/>
    </row>
    <row r="37" spans="1:33" ht="12.75">
      <c r="A37" s="230"/>
      <c r="B37" s="173" t="s">
        <v>9</v>
      </c>
      <c r="C37" s="158">
        <v>9</v>
      </c>
      <c r="D37" s="112" t="s">
        <v>40</v>
      </c>
      <c r="E37" s="6">
        <v>7</v>
      </c>
      <c r="F37" s="13">
        <v>0</v>
      </c>
      <c r="G37" s="12">
        <v>0</v>
      </c>
      <c r="H37" s="69">
        <f aca="true" t="shared" si="17" ref="H37:H70">G37*0.7</f>
        <v>0</v>
      </c>
      <c r="I37" s="12">
        <v>1</v>
      </c>
      <c r="J37" s="77">
        <f aca="true" t="shared" si="18" ref="J37:J61">SUM(E37:I37)</f>
        <v>8</v>
      </c>
      <c r="K37" s="83">
        <f t="shared" si="14"/>
        <v>17.855670103092784</v>
      </c>
      <c r="L37" s="83"/>
      <c r="M37" s="96">
        <f t="shared" si="15"/>
        <v>0.00965096332717518</v>
      </c>
      <c r="N37" s="80"/>
      <c r="O37" s="54"/>
      <c r="R37" s="143">
        <f t="shared" si="11"/>
        <v>0.40581068416119964</v>
      </c>
      <c r="S37" s="132"/>
      <c r="T37" s="180"/>
      <c r="U37" s="54"/>
      <c r="V37" s="225"/>
      <c r="W37" s="4" t="s">
        <v>9</v>
      </c>
      <c r="X37" s="104" t="s">
        <v>40</v>
      </c>
      <c r="Z37" s="143">
        <f t="shared" si="16"/>
        <v>0.40581068416119964</v>
      </c>
      <c r="AA37" s="8"/>
      <c r="AB37" s="225"/>
      <c r="AC37" s="168" t="s">
        <v>9</v>
      </c>
      <c r="AD37" s="158">
        <v>9</v>
      </c>
      <c r="AE37" s="152" t="s">
        <v>40</v>
      </c>
      <c r="AF37" s="143">
        <v>0.40581068416119964</v>
      </c>
      <c r="AG37" s="8"/>
    </row>
    <row r="38" spans="1:33" ht="12.75">
      <c r="A38" s="230"/>
      <c r="B38" s="173" t="s">
        <v>9</v>
      </c>
      <c r="C38" s="75">
        <v>5</v>
      </c>
      <c r="D38" s="104" t="s">
        <v>41</v>
      </c>
      <c r="E38" s="6">
        <v>99</v>
      </c>
      <c r="F38" s="13">
        <v>0</v>
      </c>
      <c r="G38" s="12">
        <v>25</v>
      </c>
      <c r="H38" s="69">
        <f t="shared" si="17"/>
        <v>17.5</v>
      </c>
      <c r="I38" s="12">
        <v>0</v>
      </c>
      <c r="J38" s="77">
        <f t="shared" si="18"/>
        <v>141.5</v>
      </c>
      <c r="K38" s="83">
        <f t="shared" si="14"/>
        <v>147.51288659793812</v>
      </c>
      <c r="L38" s="83"/>
      <c r="M38" s="96">
        <f t="shared" si="15"/>
        <v>0.0797304974063036</v>
      </c>
      <c r="N38" s="80"/>
      <c r="O38" s="54"/>
      <c r="R38" s="143">
        <f t="shared" si="11"/>
        <v>3.3525656044985936</v>
      </c>
      <c r="S38" s="132"/>
      <c r="T38" s="180"/>
      <c r="U38" s="54"/>
      <c r="V38" s="225"/>
      <c r="W38" s="4" t="s">
        <v>9</v>
      </c>
      <c r="X38" s="112" t="s">
        <v>41</v>
      </c>
      <c r="Z38" s="143">
        <f t="shared" si="16"/>
        <v>3.3525656044985936</v>
      </c>
      <c r="AA38" s="8"/>
      <c r="AB38" s="225"/>
      <c r="AC38" s="168" t="s">
        <v>9</v>
      </c>
      <c r="AD38" s="75">
        <v>5</v>
      </c>
      <c r="AE38" s="153" t="s">
        <v>41</v>
      </c>
      <c r="AF38" s="143">
        <v>3.3525656044985936</v>
      </c>
      <c r="AG38" s="8"/>
    </row>
    <row r="39" spans="1:33" ht="12.75">
      <c r="A39" s="230"/>
      <c r="B39" s="173" t="s">
        <v>9</v>
      </c>
      <c r="C39" s="158">
        <v>10</v>
      </c>
      <c r="D39" s="112" t="s">
        <v>42</v>
      </c>
      <c r="E39" s="6">
        <v>38</v>
      </c>
      <c r="F39" s="13">
        <v>0</v>
      </c>
      <c r="G39" s="12">
        <v>2</v>
      </c>
      <c r="H39" s="69">
        <f t="shared" si="17"/>
        <v>1.4</v>
      </c>
      <c r="I39" s="12">
        <v>4</v>
      </c>
      <c r="J39" s="77">
        <f t="shared" si="18"/>
        <v>45.4</v>
      </c>
      <c r="K39" s="83">
        <f t="shared" si="14"/>
        <v>50.72061855670103</v>
      </c>
      <c r="L39" s="83"/>
      <c r="M39" s="96">
        <f t="shared" si="15"/>
        <v>0.027414419441899054</v>
      </c>
      <c r="N39" s="80"/>
      <c r="O39" s="54"/>
      <c r="R39" s="143">
        <f t="shared" si="11"/>
        <v>1.1527413308341141</v>
      </c>
      <c r="S39" s="132"/>
      <c r="T39" s="180"/>
      <c r="U39" s="54"/>
      <c r="V39" s="225"/>
      <c r="W39" s="4" t="s">
        <v>9</v>
      </c>
      <c r="X39" s="104" t="s">
        <v>42</v>
      </c>
      <c r="Z39" s="143">
        <f t="shared" si="16"/>
        <v>1.1527413308341141</v>
      </c>
      <c r="AA39" s="8"/>
      <c r="AB39" s="225"/>
      <c r="AC39" s="168" t="s">
        <v>9</v>
      </c>
      <c r="AD39" s="158">
        <v>10</v>
      </c>
      <c r="AE39" s="152" t="s">
        <v>42</v>
      </c>
      <c r="AF39" s="143">
        <v>1.1527413308341141</v>
      </c>
      <c r="AG39" s="8"/>
    </row>
    <row r="40" spans="1:33" ht="12.75">
      <c r="A40" s="230"/>
      <c r="B40" s="173" t="s">
        <v>9</v>
      </c>
      <c r="C40" s="158">
        <v>11</v>
      </c>
      <c r="D40" s="112" t="s">
        <v>43</v>
      </c>
      <c r="E40" s="6">
        <v>31</v>
      </c>
      <c r="F40" s="13">
        <v>0</v>
      </c>
      <c r="G40" s="12">
        <v>13</v>
      </c>
      <c r="H40" s="69">
        <f t="shared" si="17"/>
        <v>9.1</v>
      </c>
      <c r="I40" s="12">
        <v>2</v>
      </c>
      <c r="J40" s="77">
        <f t="shared" si="18"/>
        <v>55.1</v>
      </c>
      <c r="K40" s="83">
        <f t="shared" si="14"/>
        <v>62.807731958762886</v>
      </c>
      <c r="L40" s="83"/>
      <c r="M40" s="96">
        <f t="shared" si="15"/>
        <v>0.03394748638932778</v>
      </c>
      <c r="N40" s="80"/>
      <c r="O40" s="54"/>
      <c r="R40" s="143">
        <f t="shared" si="11"/>
        <v>1.4274484536082475</v>
      </c>
      <c r="S40" s="132"/>
      <c r="T40" s="180"/>
      <c r="U40" s="54"/>
      <c r="V40" s="225"/>
      <c r="W40" s="4" t="s">
        <v>9</v>
      </c>
      <c r="X40" s="104" t="s">
        <v>43</v>
      </c>
      <c r="Z40" s="143">
        <f t="shared" si="16"/>
        <v>1.4274484536082475</v>
      </c>
      <c r="AA40" s="8"/>
      <c r="AB40" s="225"/>
      <c r="AC40" s="168" t="s">
        <v>9</v>
      </c>
      <c r="AD40" s="158">
        <v>11</v>
      </c>
      <c r="AE40" s="152" t="s">
        <v>43</v>
      </c>
      <c r="AF40" s="143">
        <v>1.4274484536082475</v>
      </c>
      <c r="AG40" s="8"/>
    </row>
    <row r="41" spans="1:33" ht="12.75">
      <c r="A41" s="230"/>
      <c r="B41" s="173" t="s">
        <v>9</v>
      </c>
      <c r="C41" s="158" t="s">
        <v>146</v>
      </c>
      <c r="D41" s="104" t="s">
        <v>44</v>
      </c>
      <c r="E41" s="6">
        <v>124</v>
      </c>
      <c r="F41" s="13">
        <v>0</v>
      </c>
      <c r="G41" s="12">
        <v>38</v>
      </c>
      <c r="H41" s="69">
        <f t="shared" si="17"/>
        <v>26.599999999999998</v>
      </c>
      <c r="I41" s="12">
        <v>6</v>
      </c>
      <c r="J41" s="77">
        <f t="shared" si="18"/>
        <v>194.6</v>
      </c>
      <c r="K41" s="83">
        <f t="shared" si="14"/>
        <v>199.79484536082475</v>
      </c>
      <c r="L41" s="83"/>
      <c r="M41" s="96">
        <f t="shared" si="15"/>
        <v>0.1079888189243578</v>
      </c>
      <c r="N41" s="80"/>
      <c r="O41" s="54"/>
      <c r="R41" s="143">
        <f t="shared" si="11"/>
        <v>4.540791940018744</v>
      </c>
      <c r="S41" s="132"/>
      <c r="T41" s="180"/>
      <c r="U41" s="54"/>
      <c r="V41" s="225"/>
      <c r="W41" s="4" t="s">
        <v>9</v>
      </c>
      <c r="X41" s="104" t="s">
        <v>44</v>
      </c>
      <c r="Z41" s="143">
        <f t="shared" si="16"/>
        <v>4.540791940018744</v>
      </c>
      <c r="AA41" s="8"/>
      <c r="AB41" s="225"/>
      <c r="AC41" s="168" t="s">
        <v>9</v>
      </c>
      <c r="AD41" s="158">
        <v>12</v>
      </c>
      <c r="AE41" s="152" t="s">
        <v>44</v>
      </c>
      <c r="AF41" s="143">
        <v>4.540791940018744</v>
      </c>
      <c r="AG41" s="8"/>
    </row>
    <row r="42" spans="1:33" ht="12.75">
      <c r="A42" s="230"/>
      <c r="B42" s="173" t="s">
        <v>9</v>
      </c>
      <c r="C42" s="75">
        <v>1</v>
      </c>
      <c r="D42" s="104" t="s">
        <v>45</v>
      </c>
      <c r="E42" s="6">
        <v>178</v>
      </c>
      <c r="F42" s="12">
        <v>1</v>
      </c>
      <c r="G42" s="12">
        <v>40</v>
      </c>
      <c r="H42" s="69">
        <f t="shared" si="17"/>
        <v>28</v>
      </c>
      <c r="I42" s="12">
        <v>16</v>
      </c>
      <c r="J42" s="77">
        <f t="shared" si="18"/>
        <v>263</v>
      </c>
      <c r="K42" s="83">
        <f t="shared" si="14"/>
        <v>249.70618556701032</v>
      </c>
      <c r="L42" s="83"/>
      <c r="M42" s="96">
        <f t="shared" si="15"/>
        <v>0.13496582461268686</v>
      </c>
      <c r="N42" s="80"/>
      <c r="O42" s="54"/>
      <c r="R42" s="143">
        <f t="shared" si="11"/>
        <v>5.675140581068416</v>
      </c>
      <c r="S42" s="132"/>
      <c r="T42" s="180"/>
      <c r="U42" s="54"/>
      <c r="V42" s="225"/>
      <c r="W42" s="4" t="s">
        <v>9</v>
      </c>
      <c r="X42" s="112" t="s">
        <v>45</v>
      </c>
      <c r="Z42" s="143">
        <f t="shared" si="16"/>
        <v>5.675140581068416</v>
      </c>
      <c r="AA42" s="8"/>
      <c r="AB42" s="225"/>
      <c r="AC42" s="168" t="s">
        <v>9</v>
      </c>
      <c r="AD42" s="75">
        <v>1</v>
      </c>
      <c r="AE42" s="153" t="s">
        <v>45</v>
      </c>
      <c r="AF42" s="143">
        <v>5.675140581068416</v>
      </c>
      <c r="AG42" s="8"/>
    </row>
    <row r="43" spans="1:33" ht="12.75">
      <c r="A43" s="230"/>
      <c r="B43" s="173" t="s">
        <v>9</v>
      </c>
      <c r="C43" s="75">
        <v>6</v>
      </c>
      <c r="D43" s="111" t="s">
        <v>46</v>
      </c>
      <c r="E43" s="6">
        <v>120</v>
      </c>
      <c r="F43" s="13">
        <v>0</v>
      </c>
      <c r="G43" s="12">
        <v>14</v>
      </c>
      <c r="H43" s="69">
        <f t="shared" si="17"/>
        <v>9.799999999999999</v>
      </c>
      <c r="I43" s="12">
        <v>14</v>
      </c>
      <c r="J43" s="77">
        <f t="shared" si="18"/>
        <v>157.8</v>
      </c>
      <c r="K43" s="83">
        <f t="shared" si="14"/>
        <v>143.47731958762887</v>
      </c>
      <c r="L43" s="83"/>
      <c r="M43" s="96">
        <f t="shared" si="15"/>
        <v>0.07754927939566694</v>
      </c>
      <c r="N43" s="80"/>
      <c r="O43" s="54"/>
      <c r="R43" s="143">
        <f t="shared" si="11"/>
        <v>3.260848172446111</v>
      </c>
      <c r="S43" s="132"/>
      <c r="T43" s="180"/>
      <c r="U43" s="54"/>
      <c r="V43" s="225"/>
      <c r="W43" s="4" t="s">
        <v>9</v>
      </c>
      <c r="X43" s="112" t="s">
        <v>46</v>
      </c>
      <c r="Z43" s="143">
        <f t="shared" si="16"/>
        <v>3.260848172446111</v>
      </c>
      <c r="AA43" s="8"/>
      <c r="AB43" s="225"/>
      <c r="AC43" s="168" t="s">
        <v>9</v>
      </c>
      <c r="AD43" s="75">
        <v>6</v>
      </c>
      <c r="AE43" s="153" t="s">
        <v>46</v>
      </c>
      <c r="AF43" s="143">
        <v>3.260848172446111</v>
      </c>
      <c r="AG43" s="8"/>
    </row>
    <row r="44" spans="1:33" ht="12.75">
      <c r="A44" s="230"/>
      <c r="B44" s="173" t="s">
        <v>9</v>
      </c>
      <c r="C44" s="75">
        <v>7</v>
      </c>
      <c r="D44" s="111" t="s">
        <v>47</v>
      </c>
      <c r="E44" s="6">
        <v>90</v>
      </c>
      <c r="F44" s="12">
        <v>2</v>
      </c>
      <c r="G44" s="12">
        <v>16</v>
      </c>
      <c r="H44" s="69">
        <f t="shared" si="17"/>
        <v>11.2</v>
      </c>
      <c r="I44" s="12">
        <v>0</v>
      </c>
      <c r="J44" s="77">
        <f t="shared" si="18"/>
        <v>119.2</v>
      </c>
      <c r="K44" s="83">
        <f t="shared" si="14"/>
        <v>141.1876288659794</v>
      </c>
      <c r="L44" s="83"/>
      <c r="M44" s="96">
        <f t="shared" si="15"/>
        <v>0.07631170494129881</v>
      </c>
      <c r="N44" s="80"/>
      <c r="O44" s="54"/>
      <c r="R44" s="143">
        <f t="shared" si="11"/>
        <v>3.2088097469540773</v>
      </c>
      <c r="S44" s="132"/>
      <c r="T44" s="180"/>
      <c r="U44" s="54"/>
      <c r="V44" s="225"/>
      <c r="W44" s="4" t="s">
        <v>9</v>
      </c>
      <c r="X44" s="112" t="s">
        <v>47</v>
      </c>
      <c r="Z44" s="143">
        <f t="shared" si="16"/>
        <v>3.2088097469540773</v>
      </c>
      <c r="AA44" s="8"/>
      <c r="AB44" s="225"/>
      <c r="AC44" s="168" t="s">
        <v>9</v>
      </c>
      <c r="AD44" s="75">
        <v>7</v>
      </c>
      <c r="AE44" s="153" t="s">
        <v>47</v>
      </c>
      <c r="AF44" s="143">
        <v>3.2088097469540773</v>
      </c>
      <c r="AG44" s="8"/>
    </row>
    <row r="45" spans="1:33" ht="12.75">
      <c r="A45" s="230"/>
      <c r="B45" s="173" t="s">
        <v>9</v>
      </c>
      <c r="C45" s="158">
        <v>13</v>
      </c>
      <c r="D45" s="112" t="s">
        <v>48</v>
      </c>
      <c r="E45" s="6">
        <v>41</v>
      </c>
      <c r="F45" s="12">
        <v>1</v>
      </c>
      <c r="G45" s="12">
        <v>15</v>
      </c>
      <c r="H45" s="69">
        <f t="shared" si="17"/>
        <v>10.5</v>
      </c>
      <c r="I45" s="12">
        <v>3</v>
      </c>
      <c r="J45" s="77">
        <f t="shared" si="18"/>
        <v>70.5</v>
      </c>
      <c r="K45" s="83">
        <f t="shared" si="14"/>
        <v>59.00257731958763</v>
      </c>
      <c r="L45" s="83"/>
      <c r="M45" s="96">
        <f t="shared" si="15"/>
        <v>0.031890805925089694</v>
      </c>
      <c r="N45" s="80"/>
      <c r="O45" s="54"/>
      <c r="R45" s="143">
        <f t="shared" si="11"/>
        <v>1.3409676663542645</v>
      </c>
      <c r="S45" s="132"/>
      <c r="T45" s="180"/>
      <c r="U45" s="54"/>
      <c r="V45" s="225"/>
      <c r="W45" s="4" t="s">
        <v>9</v>
      </c>
      <c r="X45" s="89" t="s">
        <v>48</v>
      </c>
      <c r="Z45" s="143">
        <f t="shared" si="16"/>
        <v>1.3409676663542645</v>
      </c>
      <c r="AA45" s="8"/>
      <c r="AB45" s="225"/>
      <c r="AC45" s="168" t="s">
        <v>9</v>
      </c>
      <c r="AD45" s="158">
        <v>13</v>
      </c>
      <c r="AE45" s="152" t="s">
        <v>48</v>
      </c>
      <c r="AF45" s="143">
        <v>1.3409676663542645</v>
      </c>
      <c r="AG45" s="8"/>
    </row>
    <row r="46" spans="1:33" ht="12.75">
      <c r="A46" s="230"/>
      <c r="B46" s="56"/>
      <c r="C46" s="75"/>
      <c r="D46" s="54"/>
      <c r="E46" s="105"/>
      <c r="F46" s="59"/>
      <c r="G46" s="59"/>
      <c r="H46" s="106"/>
      <c r="I46" s="59"/>
      <c r="J46" s="86"/>
      <c r="K46" s="107"/>
      <c r="L46" s="107"/>
      <c r="M46" s="108"/>
      <c r="N46" s="80"/>
      <c r="O46" s="54"/>
      <c r="P46" s="54"/>
      <c r="S46" s="132"/>
      <c r="T46" s="180"/>
      <c r="U46" s="54"/>
      <c r="V46" s="225"/>
      <c r="W46" s="56"/>
      <c r="X46" s="57"/>
      <c r="Z46" s="8"/>
      <c r="AA46" s="8"/>
      <c r="AB46" s="225"/>
      <c r="AC46" s="56"/>
      <c r="AD46" s="75"/>
      <c r="AE46" s="57"/>
      <c r="AF46" s="8"/>
      <c r="AG46" s="8"/>
    </row>
    <row r="47" spans="1:33" ht="12.75">
      <c r="A47" s="230"/>
      <c r="B47" s="173" t="s">
        <v>11</v>
      </c>
      <c r="C47" s="75">
        <v>1</v>
      </c>
      <c r="D47" s="104" t="s">
        <v>49</v>
      </c>
      <c r="E47" s="6">
        <v>160</v>
      </c>
      <c r="F47" s="12">
        <v>16</v>
      </c>
      <c r="G47" s="12">
        <v>39</v>
      </c>
      <c r="H47" s="69">
        <f t="shared" si="17"/>
        <v>27.299999999999997</v>
      </c>
      <c r="I47" s="12">
        <v>25</v>
      </c>
      <c r="J47" s="77">
        <f t="shared" si="18"/>
        <v>267.3</v>
      </c>
      <c r="K47" s="87">
        <f aca="true" t="shared" si="19" ref="K47:K52">(J47+J103)/2</f>
        <v>137.36134020618556</v>
      </c>
      <c r="L47" s="87">
        <f>SUM(K47:K52)</f>
        <v>899.8845360824743</v>
      </c>
      <c r="M47" s="97">
        <f aca="true" t="shared" si="20" ref="M47:M52">K47/$L$47</f>
        <v>0.15264329444327335</v>
      </c>
      <c r="N47" s="79">
        <f>('[1]Riepilogo'!G47-'[1]Riepilogo'!G7)/'[1]Riepilogo'!G7</f>
        <v>-0.16451417796278506</v>
      </c>
      <c r="O47" s="15">
        <f>'[1]Riepilogo'!G47-'[1]Riepilogo'!G7</f>
        <v>-171.25925925925924</v>
      </c>
      <c r="R47" s="143">
        <f t="shared" si="11"/>
        <v>3.121848641049672</v>
      </c>
      <c r="S47" s="132"/>
      <c r="T47" s="180"/>
      <c r="U47" s="175">
        <f>R47+R48+R50</f>
        <v>9.695395970009374</v>
      </c>
      <c r="V47" s="225"/>
      <c r="W47" s="4" t="s">
        <v>11</v>
      </c>
      <c r="X47" s="89" t="s">
        <v>49</v>
      </c>
      <c r="Z47" s="143">
        <f aca="true" t="shared" si="21" ref="Z47:Z52">K47/220*5</f>
        <v>3.121848641049672</v>
      </c>
      <c r="AA47" s="151">
        <f>SUM(Z47:Z52)</f>
        <v>20.45192127460169</v>
      </c>
      <c r="AB47" s="225"/>
      <c r="AC47" s="168" t="s">
        <v>11</v>
      </c>
      <c r="AD47" s="75">
        <v>1</v>
      </c>
      <c r="AE47" s="152" t="s">
        <v>49</v>
      </c>
      <c r="AF47" s="143">
        <v>3.121848641049672</v>
      </c>
      <c r="AG47" s="151">
        <v>20.45192127460169</v>
      </c>
    </row>
    <row r="48" spans="1:33" ht="12.75">
      <c r="A48" s="230"/>
      <c r="B48" s="173" t="s">
        <v>11</v>
      </c>
      <c r="C48" s="75">
        <v>2</v>
      </c>
      <c r="D48" s="104" t="s">
        <v>50</v>
      </c>
      <c r="E48" s="6">
        <v>91</v>
      </c>
      <c r="F48" s="12">
        <v>21</v>
      </c>
      <c r="G48" s="12">
        <v>23</v>
      </c>
      <c r="H48" s="69">
        <f t="shared" si="17"/>
        <v>16.099999999999998</v>
      </c>
      <c r="I48" s="12">
        <v>15</v>
      </c>
      <c r="J48" s="77">
        <f t="shared" si="18"/>
        <v>166.1</v>
      </c>
      <c r="K48" s="87">
        <f t="shared" si="19"/>
        <v>213.8128865979382</v>
      </c>
      <c r="L48" s="87"/>
      <c r="M48" s="97">
        <f t="shared" si="20"/>
        <v>0.2376003565176747</v>
      </c>
      <c r="N48" s="80"/>
      <c r="O48" s="54"/>
      <c r="R48" s="143">
        <f t="shared" si="11"/>
        <v>4.859383786316777</v>
      </c>
      <c r="S48" s="132"/>
      <c r="T48" s="180"/>
      <c r="U48" s="177">
        <f>R49+R51+R52</f>
        <v>10.756525304592316</v>
      </c>
      <c r="V48" s="225"/>
      <c r="W48" s="4" t="s">
        <v>11</v>
      </c>
      <c r="X48" s="104" t="s">
        <v>50</v>
      </c>
      <c r="Z48" s="143">
        <f t="shared" si="21"/>
        <v>4.859383786316777</v>
      </c>
      <c r="AA48" s="8"/>
      <c r="AB48" s="225"/>
      <c r="AC48" s="168" t="s">
        <v>11</v>
      </c>
      <c r="AD48" s="75">
        <v>2</v>
      </c>
      <c r="AE48" s="152" t="s">
        <v>50</v>
      </c>
      <c r="AF48" s="143">
        <v>4.859383786316777</v>
      </c>
      <c r="AG48" s="8"/>
    </row>
    <row r="49" spans="1:33" ht="12.75">
      <c r="A49" s="230"/>
      <c r="B49" s="173" t="s">
        <v>11</v>
      </c>
      <c r="C49" s="75">
        <v>3</v>
      </c>
      <c r="D49" s="112" t="s">
        <v>51</v>
      </c>
      <c r="E49" s="6">
        <v>51</v>
      </c>
      <c r="F49" s="12">
        <v>5</v>
      </c>
      <c r="G49" s="12">
        <v>3</v>
      </c>
      <c r="H49" s="69">
        <f t="shared" si="17"/>
        <v>2.0999999999999996</v>
      </c>
      <c r="I49" s="12">
        <v>4</v>
      </c>
      <c r="J49" s="77">
        <f t="shared" si="18"/>
        <v>65.1</v>
      </c>
      <c r="K49" s="87">
        <f t="shared" si="19"/>
        <v>116.55000000000001</v>
      </c>
      <c r="L49" s="87"/>
      <c r="M49" s="97">
        <f t="shared" si="20"/>
        <v>0.12951661610653373</v>
      </c>
      <c r="N49" s="80"/>
      <c r="O49" s="54"/>
      <c r="R49" s="143">
        <f t="shared" si="11"/>
        <v>2.6488636363636364</v>
      </c>
      <c r="S49" s="132"/>
      <c r="T49" s="180"/>
      <c r="U49" s="54"/>
      <c r="V49" s="225"/>
      <c r="W49" s="4" t="s">
        <v>11</v>
      </c>
      <c r="X49" s="104" t="s">
        <v>51</v>
      </c>
      <c r="Z49" s="143">
        <f t="shared" si="21"/>
        <v>2.6488636363636364</v>
      </c>
      <c r="AA49" s="8"/>
      <c r="AB49" s="225"/>
      <c r="AC49" s="168" t="s">
        <v>11</v>
      </c>
      <c r="AD49" s="75">
        <v>3</v>
      </c>
      <c r="AE49" s="152" t="s">
        <v>51</v>
      </c>
      <c r="AF49" s="143">
        <v>2.6488636363636364</v>
      </c>
      <c r="AG49" s="8"/>
    </row>
    <row r="50" spans="1:33" ht="12.75">
      <c r="A50" s="230"/>
      <c r="B50" s="173" t="s">
        <v>11</v>
      </c>
      <c r="C50" s="75">
        <v>4</v>
      </c>
      <c r="D50" s="104" t="s">
        <v>52</v>
      </c>
      <c r="E50" s="6">
        <v>52</v>
      </c>
      <c r="F50" s="12">
        <v>10</v>
      </c>
      <c r="G50" s="12">
        <v>9</v>
      </c>
      <c r="H50" s="69">
        <f t="shared" si="17"/>
        <v>6.3</v>
      </c>
      <c r="I50" s="12">
        <v>6</v>
      </c>
      <c r="J50" s="77">
        <f t="shared" si="18"/>
        <v>83.3</v>
      </c>
      <c r="K50" s="87">
        <f t="shared" si="19"/>
        <v>75.42319587628867</v>
      </c>
      <c r="L50" s="87"/>
      <c r="M50" s="97">
        <f t="shared" si="20"/>
        <v>0.08381430378238676</v>
      </c>
      <c r="N50" s="80"/>
      <c r="O50" s="54"/>
      <c r="R50" s="143">
        <f t="shared" si="11"/>
        <v>1.7141635426429245</v>
      </c>
      <c r="S50" s="132"/>
      <c r="T50" s="180"/>
      <c r="U50" s="54"/>
      <c r="V50" s="225"/>
      <c r="W50" s="4" t="s">
        <v>11</v>
      </c>
      <c r="X50" s="104" t="s">
        <v>52</v>
      </c>
      <c r="Z50" s="143">
        <f t="shared" si="21"/>
        <v>1.7141635426429245</v>
      </c>
      <c r="AA50" s="8"/>
      <c r="AB50" s="225"/>
      <c r="AC50" s="168" t="s">
        <v>11</v>
      </c>
      <c r="AD50" s="75">
        <v>4</v>
      </c>
      <c r="AE50" s="152" t="s">
        <v>52</v>
      </c>
      <c r="AF50" s="143">
        <v>1.7141635426429245</v>
      </c>
      <c r="AG50" s="8"/>
    </row>
    <row r="51" spans="1:33" ht="12.75">
      <c r="A51" s="230"/>
      <c r="B51" s="173" t="s">
        <v>11</v>
      </c>
      <c r="C51" s="75">
        <v>5</v>
      </c>
      <c r="D51" s="112" t="s">
        <v>53</v>
      </c>
      <c r="E51" s="6">
        <v>129</v>
      </c>
      <c r="F51" s="12">
        <v>32</v>
      </c>
      <c r="G51" s="12">
        <v>35</v>
      </c>
      <c r="H51" s="69">
        <f t="shared" si="17"/>
        <v>24.5</v>
      </c>
      <c r="I51" s="12">
        <v>32</v>
      </c>
      <c r="J51" s="77">
        <f t="shared" si="18"/>
        <v>252.5</v>
      </c>
      <c r="K51" s="87">
        <f t="shared" si="19"/>
        <v>153.03350515463916</v>
      </c>
      <c r="L51" s="87"/>
      <c r="M51" s="97">
        <f t="shared" si="20"/>
        <v>0.17005904537580993</v>
      </c>
      <c r="N51" s="80"/>
      <c r="O51" s="54"/>
      <c r="R51" s="143">
        <f t="shared" si="11"/>
        <v>3.478034208059981</v>
      </c>
      <c r="S51" s="132"/>
      <c r="T51" s="180"/>
      <c r="U51" s="54"/>
      <c r="V51" s="225"/>
      <c r="W51" s="4" t="s">
        <v>11</v>
      </c>
      <c r="X51" s="104" t="s">
        <v>53</v>
      </c>
      <c r="Z51" s="143">
        <f t="shared" si="21"/>
        <v>3.478034208059981</v>
      </c>
      <c r="AA51" s="8"/>
      <c r="AB51" s="225"/>
      <c r="AC51" s="168" t="s">
        <v>11</v>
      </c>
      <c r="AD51" s="75">
        <v>5</v>
      </c>
      <c r="AE51" s="152" t="s">
        <v>53</v>
      </c>
      <c r="AF51" s="143">
        <v>3.478034208059981</v>
      </c>
      <c r="AG51" s="8"/>
    </row>
    <row r="52" spans="1:33" ht="12.75">
      <c r="A52" s="230"/>
      <c r="B52" s="173" t="s">
        <v>11</v>
      </c>
      <c r="C52" s="75">
        <v>6</v>
      </c>
      <c r="D52" s="112" t="s">
        <v>54</v>
      </c>
      <c r="E52" s="6">
        <v>81</v>
      </c>
      <c r="F52" s="12">
        <v>7</v>
      </c>
      <c r="G52" s="12">
        <v>15</v>
      </c>
      <c r="H52" s="69">
        <f t="shared" si="17"/>
        <v>10.5</v>
      </c>
      <c r="I52" s="12">
        <v>9</v>
      </c>
      <c r="J52" s="77">
        <f t="shared" si="18"/>
        <v>122.5</v>
      </c>
      <c r="K52" s="87">
        <f t="shared" si="19"/>
        <v>203.70360824742272</v>
      </c>
      <c r="L52" s="87"/>
      <c r="M52" s="97">
        <f t="shared" si="20"/>
        <v>0.2263663837743216</v>
      </c>
      <c r="N52" s="80"/>
      <c r="O52" s="54"/>
      <c r="R52" s="143">
        <f t="shared" si="11"/>
        <v>4.629627460168698</v>
      </c>
      <c r="S52" s="132"/>
      <c r="T52" s="180"/>
      <c r="U52" s="54"/>
      <c r="V52" s="225"/>
      <c r="W52" s="4" t="s">
        <v>11</v>
      </c>
      <c r="X52" s="89" t="s">
        <v>54</v>
      </c>
      <c r="Z52" s="143">
        <f t="shared" si="21"/>
        <v>4.629627460168698</v>
      </c>
      <c r="AA52" s="8"/>
      <c r="AB52" s="225"/>
      <c r="AC52" s="168" t="s">
        <v>11</v>
      </c>
      <c r="AD52" s="75">
        <v>6</v>
      </c>
      <c r="AE52" s="152" t="s">
        <v>54</v>
      </c>
      <c r="AF52" s="143">
        <v>4.629627460168698</v>
      </c>
      <c r="AG52" s="8"/>
    </row>
    <row r="53" spans="1:33" ht="12.75">
      <c r="A53" s="230"/>
      <c r="B53" s="56"/>
      <c r="C53" s="75"/>
      <c r="D53" s="54"/>
      <c r="E53" s="105"/>
      <c r="F53" s="59"/>
      <c r="G53" s="59"/>
      <c r="H53" s="106"/>
      <c r="I53" s="59"/>
      <c r="J53" s="86"/>
      <c r="K53" s="109"/>
      <c r="L53" s="109"/>
      <c r="M53" s="110"/>
      <c r="N53" s="80"/>
      <c r="O53" s="54"/>
      <c r="P53" s="54"/>
      <c r="S53" s="132"/>
      <c r="T53" s="180"/>
      <c r="U53" s="54"/>
      <c r="V53" s="225"/>
      <c r="W53" s="56"/>
      <c r="X53" s="57"/>
      <c r="Z53" s="8"/>
      <c r="AA53" s="8"/>
      <c r="AB53" s="225"/>
      <c r="AC53" s="56"/>
      <c r="AD53" s="75"/>
      <c r="AE53" s="57"/>
      <c r="AF53" s="8"/>
      <c r="AG53" s="8"/>
    </row>
    <row r="54" spans="1:33" ht="12.75">
      <c r="A54" s="230"/>
      <c r="B54" s="173" t="s">
        <v>13</v>
      </c>
      <c r="C54" s="75">
        <v>2</v>
      </c>
      <c r="D54" s="101" t="s">
        <v>55</v>
      </c>
      <c r="E54" s="6">
        <v>54</v>
      </c>
      <c r="F54" s="12">
        <v>15</v>
      </c>
      <c r="G54" s="12">
        <v>17</v>
      </c>
      <c r="H54" s="69">
        <f t="shared" si="17"/>
        <v>11.899999999999999</v>
      </c>
      <c r="I54" s="12">
        <v>2</v>
      </c>
      <c r="J54" s="77">
        <f t="shared" si="18"/>
        <v>99.9</v>
      </c>
      <c r="K54" s="84">
        <f aca="true" t="shared" si="22" ref="K54:K61">(J54+J109)/2</f>
        <v>110.63041237113401</v>
      </c>
      <c r="L54" s="84">
        <f>SUM(K54:K61)</f>
        <v>1002.2886597938144</v>
      </c>
      <c r="M54" s="98">
        <f>K54/$L$54</f>
        <v>0.11037779514924605</v>
      </c>
      <c r="N54" s="79">
        <f>('[1]Riepilogo'!G48-'[1]Riepilogo'!G8)/'[1]Riepilogo'!G8</f>
        <v>0.07426859632741985</v>
      </c>
      <c r="O54" s="15">
        <f>'[1]Riepilogo'!G48-'[1]Riepilogo'!G8</f>
        <v>70.7037037037037</v>
      </c>
      <c r="R54" s="143">
        <f t="shared" si="11"/>
        <v>2.5143275538894096</v>
      </c>
      <c r="S54" s="132"/>
      <c r="T54" s="180"/>
      <c r="U54" s="175">
        <f>R55+R56+R59+R60</f>
        <v>13.659688378631678</v>
      </c>
      <c r="V54" s="225"/>
      <c r="W54" s="4" t="s">
        <v>13</v>
      </c>
      <c r="X54" s="89" t="s">
        <v>55</v>
      </c>
      <c r="Z54" s="143">
        <f>K54/220*5</f>
        <v>2.5143275538894096</v>
      </c>
      <c r="AA54" s="151">
        <f>SUM(Z54:Z61)+Z13+Z15</f>
        <v>26.97309044048735</v>
      </c>
      <c r="AB54" s="225"/>
      <c r="AC54" s="168" t="s">
        <v>13</v>
      </c>
      <c r="AD54" s="75">
        <v>2</v>
      </c>
      <c r="AE54" s="152" t="s">
        <v>55</v>
      </c>
      <c r="AF54" s="143">
        <v>2.5143275538894096</v>
      </c>
      <c r="AG54" s="151">
        <f>SUM(AF54:AF61)</f>
        <v>22.779287722586695</v>
      </c>
    </row>
    <row r="55" spans="1:33" ht="12.75">
      <c r="A55" s="230"/>
      <c r="B55" s="173" t="s">
        <v>13</v>
      </c>
      <c r="C55" s="75">
        <v>3</v>
      </c>
      <c r="D55" s="104" t="s">
        <v>56</v>
      </c>
      <c r="E55" s="6">
        <v>50</v>
      </c>
      <c r="F55" s="12">
        <v>20</v>
      </c>
      <c r="G55" s="12">
        <v>26</v>
      </c>
      <c r="H55" s="69">
        <f t="shared" si="17"/>
        <v>18.2</v>
      </c>
      <c r="I55" s="12">
        <v>11</v>
      </c>
      <c r="J55" s="77">
        <f t="shared" si="18"/>
        <v>125.2</v>
      </c>
      <c r="K55" s="84">
        <f t="shared" si="22"/>
        <v>131.75463917525772</v>
      </c>
      <c r="L55" s="84"/>
      <c r="M55" s="98">
        <f aca="true" t="shared" si="23" ref="M55:M61">K55/$L$54</f>
        <v>0.1314537861800827</v>
      </c>
      <c r="N55" s="80"/>
      <c r="O55" s="54"/>
      <c r="R55" s="143">
        <f t="shared" si="11"/>
        <v>2.9944236176194936</v>
      </c>
      <c r="S55" s="132"/>
      <c r="T55" s="180"/>
      <c r="U55" s="179">
        <f>R54+R57+R58+R61+R13+R15</f>
        <v>13.313402061855673</v>
      </c>
      <c r="V55" s="225"/>
      <c r="W55" s="4" t="s">
        <v>13</v>
      </c>
      <c r="X55" s="104" t="s">
        <v>56</v>
      </c>
      <c r="Z55" s="143">
        <f aca="true" t="shared" si="24" ref="Z55:Z61">K55/220*5</f>
        <v>2.9944236176194936</v>
      </c>
      <c r="AA55" s="8"/>
      <c r="AB55" s="225"/>
      <c r="AC55" s="168" t="s">
        <v>13</v>
      </c>
      <c r="AD55" s="75">
        <v>3</v>
      </c>
      <c r="AE55" s="152" t="s">
        <v>56</v>
      </c>
      <c r="AF55" s="143">
        <v>2.9944236176194936</v>
      </c>
      <c r="AG55" s="8"/>
    </row>
    <row r="56" spans="1:33" ht="12.75">
      <c r="A56" s="230"/>
      <c r="B56" s="173" t="s">
        <v>13</v>
      </c>
      <c r="C56" s="75">
        <v>4</v>
      </c>
      <c r="D56" s="104" t="s">
        <v>57</v>
      </c>
      <c r="E56" s="6">
        <v>47</v>
      </c>
      <c r="F56" s="12">
        <v>25</v>
      </c>
      <c r="G56" s="12">
        <v>22</v>
      </c>
      <c r="H56" s="69">
        <f t="shared" si="17"/>
        <v>15.399999999999999</v>
      </c>
      <c r="I56" s="12">
        <v>10</v>
      </c>
      <c r="J56" s="77">
        <f t="shared" si="18"/>
        <v>119.4</v>
      </c>
      <c r="K56" s="84">
        <f t="shared" si="22"/>
        <v>150.31855670103096</v>
      </c>
      <c r="L56" s="84"/>
      <c r="M56" s="98">
        <f t="shared" si="23"/>
        <v>0.1499753142292897</v>
      </c>
      <c r="N56" s="80"/>
      <c r="O56" s="54"/>
      <c r="R56" s="143">
        <f t="shared" si="11"/>
        <v>3.41633083411434</v>
      </c>
      <c r="S56" s="132"/>
      <c r="T56" s="54"/>
      <c r="U56" s="183"/>
      <c r="V56" s="227"/>
      <c r="W56" s="4" t="s">
        <v>13</v>
      </c>
      <c r="X56" s="104" t="s">
        <v>57</v>
      </c>
      <c r="Z56" s="143">
        <f t="shared" si="24"/>
        <v>3.41633083411434</v>
      </c>
      <c r="AA56" s="8"/>
      <c r="AB56" s="225"/>
      <c r="AC56" s="168" t="s">
        <v>13</v>
      </c>
      <c r="AD56" s="75">
        <v>4</v>
      </c>
      <c r="AE56" s="152" t="s">
        <v>57</v>
      </c>
      <c r="AF56" s="143">
        <v>3.41633083411434</v>
      </c>
      <c r="AG56" s="8"/>
    </row>
    <row r="57" spans="1:33" ht="12.75">
      <c r="A57" s="230"/>
      <c r="B57" s="173" t="s">
        <v>13</v>
      </c>
      <c r="C57" s="75">
        <v>5</v>
      </c>
      <c r="D57" s="113" t="s">
        <v>58</v>
      </c>
      <c r="E57" s="6">
        <v>29</v>
      </c>
      <c r="F57" s="13">
        <v>0</v>
      </c>
      <c r="G57" s="12">
        <v>5</v>
      </c>
      <c r="H57" s="69">
        <f t="shared" si="17"/>
        <v>3.5</v>
      </c>
      <c r="I57" s="12">
        <v>7</v>
      </c>
      <c r="J57" s="77">
        <f t="shared" si="18"/>
        <v>44.5</v>
      </c>
      <c r="K57" s="84">
        <f t="shared" si="22"/>
        <v>100.99226804123711</v>
      </c>
      <c r="L57" s="84"/>
      <c r="M57" s="98">
        <f t="shared" si="23"/>
        <v>0.10076165888379174</v>
      </c>
      <c r="N57" s="80"/>
      <c r="O57" s="54"/>
      <c r="R57" s="143">
        <f t="shared" si="11"/>
        <v>2.295278819119025</v>
      </c>
      <c r="S57" s="132"/>
      <c r="T57" s="54"/>
      <c r="U57" s="184"/>
      <c r="V57" s="227"/>
      <c r="W57" s="4" t="s">
        <v>13</v>
      </c>
      <c r="X57" s="144" t="s">
        <v>58</v>
      </c>
      <c r="Z57" s="143">
        <f t="shared" si="24"/>
        <v>2.295278819119025</v>
      </c>
      <c r="AA57" s="8"/>
      <c r="AB57" s="225"/>
      <c r="AC57" s="168" t="s">
        <v>13</v>
      </c>
      <c r="AD57" s="75">
        <v>5</v>
      </c>
      <c r="AE57" s="154" t="s">
        <v>58</v>
      </c>
      <c r="AF57" s="143">
        <v>2.295278819119025</v>
      </c>
      <c r="AG57" s="8"/>
    </row>
    <row r="58" spans="1:33" ht="12.75">
      <c r="A58" s="230"/>
      <c r="B58" s="173" t="s">
        <v>13</v>
      </c>
      <c r="C58" s="75">
        <v>6</v>
      </c>
      <c r="D58" s="101" t="s">
        <v>59</v>
      </c>
      <c r="E58" s="6">
        <v>40</v>
      </c>
      <c r="F58" s="12">
        <v>9</v>
      </c>
      <c r="G58" s="12">
        <v>23</v>
      </c>
      <c r="H58" s="69">
        <f t="shared" si="17"/>
        <v>16.099999999999998</v>
      </c>
      <c r="I58" s="12">
        <v>8</v>
      </c>
      <c r="J58" s="77">
        <f t="shared" si="18"/>
        <v>96.1</v>
      </c>
      <c r="K58" s="84">
        <f t="shared" si="22"/>
        <v>68.52422680412371</v>
      </c>
      <c r="L58" s="84"/>
      <c r="M58" s="98">
        <f t="shared" si="23"/>
        <v>0.06836775626915718</v>
      </c>
      <c r="N58" s="80"/>
      <c r="O58" s="54"/>
      <c r="R58" s="143">
        <f t="shared" si="11"/>
        <v>1.5573687910028116</v>
      </c>
      <c r="S58" s="132"/>
      <c r="T58" s="54"/>
      <c r="U58" s="184"/>
      <c r="V58" s="227"/>
      <c r="W58" s="4" t="s">
        <v>13</v>
      </c>
      <c r="X58" s="104" t="s">
        <v>59</v>
      </c>
      <c r="Z58" s="143">
        <f t="shared" si="24"/>
        <v>1.5573687910028116</v>
      </c>
      <c r="AA58" s="8"/>
      <c r="AB58" s="225"/>
      <c r="AC58" s="168" t="s">
        <v>13</v>
      </c>
      <c r="AD58" s="75">
        <v>6</v>
      </c>
      <c r="AE58" s="204" t="s">
        <v>59</v>
      </c>
      <c r="AF58" s="143">
        <v>1.5573687910028116</v>
      </c>
      <c r="AG58" s="8"/>
    </row>
    <row r="59" spans="1:33" ht="12.75">
      <c r="A59" s="230"/>
      <c r="B59" s="173" t="s">
        <v>13</v>
      </c>
      <c r="C59" s="75">
        <v>1</v>
      </c>
      <c r="D59" s="104" t="s">
        <v>60</v>
      </c>
      <c r="E59" s="6">
        <v>94</v>
      </c>
      <c r="F59" s="12">
        <v>34</v>
      </c>
      <c r="G59" s="12">
        <v>57</v>
      </c>
      <c r="H59" s="69">
        <f t="shared" si="17"/>
        <v>39.9</v>
      </c>
      <c r="I59" s="12">
        <v>6</v>
      </c>
      <c r="J59" s="77">
        <f t="shared" si="18"/>
        <v>230.9</v>
      </c>
      <c r="K59" s="84">
        <f t="shared" si="22"/>
        <v>161.16134020618557</v>
      </c>
      <c r="L59" s="84"/>
      <c r="M59" s="98">
        <f t="shared" si="23"/>
        <v>0.16079333895620335</v>
      </c>
      <c r="N59" s="80"/>
      <c r="O59" s="54"/>
      <c r="P59" s="130"/>
      <c r="Q59" s="130"/>
      <c r="R59" s="143">
        <f t="shared" si="11"/>
        <v>3.662757731958763</v>
      </c>
      <c r="S59" s="134"/>
      <c r="T59" s="135"/>
      <c r="U59" s="184"/>
      <c r="V59" s="227"/>
      <c r="W59" s="4" t="s">
        <v>13</v>
      </c>
      <c r="X59" s="104" t="s">
        <v>60</v>
      </c>
      <c r="Z59" s="143">
        <f t="shared" si="24"/>
        <v>3.662757731958763</v>
      </c>
      <c r="AA59" s="8"/>
      <c r="AB59" s="225"/>
      <c r="AC59" s="168" t="s">
        <v>13</v>
      </c>
      <c r="AD59" s="75">
        <v>1</v>
      </c>
      <c r="AE59" s="152" t="s">
        <v>60</v>
      </c>
      <c r="AF59" s="143">
        <v>3.662757731958763</v>
      </c>
      <c r="AG59" s="8"/>
    </row>
    <row r="60" spans="1:33" ht="12.75">
      <c r="A60" s="230"/>
      <c r="B60" s="173" t="s">
        <v>13</v>
      </c>
      <c r="C60" s="75">
        <v>7</v>
      </c>
      <c r="D60" s="104" t="s">
        <v>61</v>
      </c>
      <c r="E60" s="6">
        <v>47</v>
      </c>
      <c r="F60" s="12">
        <v>16</v>
      </c>
      <c r="G60" s="12">
        <v>14</v>
      </c>
      <c r="H60" s="69">
        <f t="shared" si="17"/>
        <v>9.799999999999999</v>
      </c>
      <c r="I60" s="12">
        <v>4</v>
      </c>
      <c r="J60" s="77">
        <f t="shared" si="18"/>
        <v>90.8</v>
      </c>
      <c r="K60" s="137">
        <f t="shared" si="22"/>
        <v>157.79175257731958</v>
      </c>
      <c r="L60" s="137"/>
      <c r="M60" s="138">
        <f t="shared" si="23"/>
        <v>0.15743144555758984</v>
      </c>
      <c r="N60" s="80"/>
      <c r="O60" s="54"/>
      <c r="R60" s="143">
        <f t="shared" si="11"/>
        <v>3.5861761949390814</v>
      </c>
      <c r="S60" s="132"/>
      <c r="T60" s="54"/>
      <c r="U60" s="184"/>
      <c r="V60" s="227"/>
      <c r="W60" s="139" t="s">
        <v>13</v>
      </c>
      <c r="X60" s="145" t="s">
        <v>61</v>
      </c>
      <c r="Z60" s="143">
        <f t="shared" si="24"/>
        <v>3.5861761949390814</v>
      </c>
      <c r="AA60" s="8"/>
      <c r="AB60" s="225"/>
      <c r="AC60" s="169" t="s">
        <v>13</v>
      </c>
      <c r="AD60" s="75">
        <v>7</v>
      </c>
      <c r="AE60" s="155" t="s">
        <v>61</v>
      </c>
      <c r="AF60" s="143">
        <v>3.5861761949390814</v>
      </c>
      <c r="AG60" s="8"/>
    </row>
    <row r="61" spans="1:33" ht="12.75">
      <c r="A61" s="231"/>
      <c r="B61" s="173" t="s">
        <v>13</v>
      </c>
      <c r="C61" s="75">
        <v>8</v>
      </c>
      <c r="D61" s="101" t="s">
        <v>62</v>
      </c>
      <c r="E61" s="6">
        <v>31</v>
      </c>
      <c r="F61" s="12">
        <v>11</v>
      </c>
      <c r="G61" s="12">
        <v>26</v>
      </c>
      <c r="H61" s="69">
        <f t="shared" si="17"/>
        <v>18.2</v>
      </c>
      <c r="I61" s="12">
        <v>3</v>
      </c>
      <c r="J61" s="77">
        <f t="shared" si="18"/>
        <v>89.2</v>
      </c>
      <c r="K61" s="84">
        <f t="shared" si="22"/>
        <v>121.11546391752577</v>
      </c>
      <c r="L61" s="84"/>
      <c r="M61" s="98">
        <f t="shared" si="23"/>
        <v>0.12083890477463949</v>
      </c>
      <c r="N61" s="142"/>
      <c r="O61" s="8"/>
      <c r="P61" s="8"/>
      <c r="Q61" s="146"/>
      <c r="R61" s="143">
        <f t="shared" si="11"/>
        <v>2.7526241799437674</v>
      </c>
      <c r="S61" s="167"/>
      <c r="T61" s="186"/>
      <c r="U61" s="185"/>
      <c r="V61" s="228"/>
      <c r="W61" s="4" t="s">
        <v>13</v>
      </c>
      <c r="X61" s="89" t="s">
        <v>62</v>
      </c>
      <c r="Z61" s="143">
        <f t="shared" si="24"/>
        <v>2.7526241799437674</v>
      </c>
      <c r="AA61" s="8"/>
      <c r="AB61" s="226"/>
      <c r="AC61" s="168" t="s">
        <v>13</v>
      </c>
      <c r="AD61" s="75">
        <v>8</v>
      </c>
      <c r="AE61" s="204" t="s">
        <v>62</v>
      </c>
      <c r="AF61" s="143">
        <v>2.7526241799437674</v>
      </c>
      <c r="AG61" s="8"/>
    </row>
    <row r="62" spans="2:24" ht="12.75" hidden="1">
      <c r="B62" s="174" t="s">
        <v>6</v>
      </c>
      <c r="D62" s="85" t="s">
        <v>3</v>
      </c>
      <c r="E62" s="60">
        <v>26</v>
      </c>
      <c r="F62" s="63">
        <v>3</v>
      </c>
      <c r="G62" s="64">
        <v>15</v>
      </c>
      <c r="H62" s="70">
        <f t="shared" si="17"/>
        <v>10.5</v>
      </c>
      <c r="I62" s="12">
        <v>3</v>
      </c>
      <c r="J62" s="136">
        <f aca="true" t="shared" si="25" ref="J62:J93">SUM(E62:I62)*12/9.7</f>
        <v>71.1340206185567</v>
      </c>
      <c r="K62" s="54"/>
      <c r="L62" s="54"/>
      <c r="M62" s="140"/>
      <c r="N62" s="54"/>
      <c r="O62" s="86"/>
      <c r="P62" s="54"/>
      <c r="Q62" s="54"/>
      <c r="R62" s="54"/>
      <c r="S62" s="54"/>
      <c r="T62" s="54"/>
      <c r="U62" s="54"/>
      <c r="W62" s="58"/>
      <c r="X62" s="141"/>
    </row>
    <row r="63" spans="2:24" ht="12.75" hidden="1">
      <c r="B63" s="174" t="s">
        <v>6</v>
      </c>
      <c r="D63" s="85" t="s">
        <v>4</v>
      </c>
      <c r="E63" s="60">
        <v>58</v>
      </c>
      <c r="F63" s="63">
        <v>5</v>
      </c>
      <c r="G63" s="64">
        <v>24</v>
      </c>
      <c r="H63" s="70">
        <f t="shared" si="17"/>
        <v>16.799999999999997</v>
      </c>
      <c r="I63" s="67">
        <v>2</v>
      </c>
      <c r="J63" s="136">
        <f t="shared" si="25"/>
        <v>130.88659793814432</v>
      </c>
      <c r="K63" s="54"/>
      <c r="L63" s="54"/>
      <c r="M63" s="140"/>
      <c r="N63" s="54"/>
      <c r="O63" s="54"/>
      <c r="P63" s="54"/>
      <c r="Q63" s="54"/>
      <c r="R63" s="54"/>
      <c r="S63" s="54"/>
      <c r="T63" s="54"/>
      <c r="U63" s="54"/>
      <c r="W63" s="58"/>
      <c r="X63" s="141"/>
    </row>
    <row r="64" spans="2:24" ht="12.75" hidden="1">
      <c r="B64" s="174" t="s">
        <v>6</v>
      </c>
      <c r="D64" s="85" t="s">
        <v>6</v>
      </c>
      <c r="E64" s="60">
        <v>133</v>
      </c>
      <c r="F64" s="63">
        <v>45</v>
      </c>
      <c r="G64" s="64">
        <v>81</v>
      </c>
      <c r="H64" s="70">
        <f t="shared" si="17"/>
        <v>56.699999999999996</v>
      </c>
      <c r="I64" s="67">
        <v>8</v>
      </c>
      <c r="J64" s="136">
        <f t="shared" si="25"/>
        <v>400.45360824742266</v>
      </c>
      <c r="K64" s="54"/>
      <c r="L64" s="54"/>
      <c r="M64" s="140"/>
      <c r="N64" s="54"/>
      <c r="O64" s="54"/>
      <c r="P64" s="54"/>
      <c r="Q64" s="54"/>
      <c r="R64" s="54"/>
      <c r="S64" s="54"/>
      <c r="T64" s="54"/>
      <c r="U64" s="54"/>
      <c r="W64" s="58"/>
      <c r="X64" s="141"/>
    </row>
    <row r="65" spans="2:24" ht="12.75" hidden="1">
      <c r="B65" s="174" t="s">
        <v>6</v>
      </c>
      <c r="D65" s="85" t="s">
        <v>8</v>
      </c>
      <c r="E65" s="60">
        <v>130</v>
      </c>
      <c r="F65" s="63">
        <v>20</v>
      </c>
      <c r="G65" s="64">
        <v>40</v>
      </c>
      <c r="H65" s="70">
        <f t="shared" si="17"/>
        <v>28</v>
      </c>
      <c r="I65" s="67">
        <v>17</v>
      </c>
      <c r="J65" s="136">
        <f t="shared" si="25"/>
        <v>290.7216494845361</v>
      </c>
      <c r="K65" s="54"/>
      <c r="L65" s="54"/>
      <c r="M65" s="140"/>
      <c r="N65" s="54"/>
      <c r="O65" s="54"/>
      <c r="P65" s="54"/>
      <c r="Q65" s="54"/>
      <c r="R65" s="54"/>
      <c r="S65" s="54"/>
      <c r="T65" s="54"/>
      <c r="U65" s="54"/>
      <c r="W65" s="58"/>
      <c r="X65" s="141"/>
    </row>
    <row r="66" spans="2:24" ht="12.75" hidden="1">
      <c r="B66" s="174" t="s">
        <v>6</v>
      </c>
      <c r="D66" s="85" t="s">
        <v>10</v>
      </c>
      <c r="E66" s="60">
        <v>70</v>
      </c>
      <c r="F66" s="63">
        <v>8</v>
      </c>
      <c r="G66" s="64">
        <v>28</v>
      </c>
      <c r="H66" s="70">
        <f t="shared" si="17"/>
        <v>19.599999999999998</v>
      </c>
      <c r="I66" s="67">
        <v>17</v>
      </c>
      <c r="J66" s="136">
        <f t="shared" si="25"/>
        <v>176.41237113402062</v>
      </c>
      <c r="K66" s="54"/>
      <c r="L66" s="54"/>
      <c r="M66" s="140"/>
      <c r="N66" s="54"/>
      <c r="O66" s="54"/>
      <c r="P66" s="54"/>
      <c r="Q66" s="54"/>
      <c r="R66" s="54"/>
      <c r="S66" s="54"/>
      <c r="T66" s="54"/>
      <c r="U66" s="54"/>
      <c r="W66" s="58"/>
      <c r="X66" s="141"/>
    </row>
    <row r="67" spans="2:24" ht="12.75" hidden="1">
      <c r="B67" s="174" t="s">
        <v>6</v>
      </c>
      <c r="D67" s="85" t="s">
        <v>12</v>
      </c>
      <c r="E67" s="60">
        <v>54</v>
      </c>
      <c r="F67" s="63">
        <v>12</v>
      </c>
      <c r="G67" s="64">
        <v>21</v>
      </c>
      <c r="H67" s="70">
        <f t="shared" si="17"/>
        <v>14.7</v>
      </c>
      <c r="I67" s="67">
        <v>7</v>
      </c>
      <c r="J67" s="136">
        <f t="shared" si="25"/>
        <v>134.47422680412373</v>
      </c>
      <c r="K67" s="54"/>
      <c r="L67" s="54"/>
      <c r="M67" s="140"/>
      <c r="N67" s="54"/>
      <c r="O67" s="54"/>
      <c r="P67" s="54"/>
      <c r="Q67" s="54"/>
      <c r="R67" s="54"/>
      <c r="S67" s="54"/>
      <c r="T67" s="54"/>
      <c r="U67" s="54"/>
      <c r="W67" s="58"/>
      <c r="X67" s="141"/>
    </row>
    <row r="68" spans="2:24" ht="12.75" hidden="1">
      <c r="B68" s="174" t="s">
        <v>6</v>
      </c>
      <c r="D68" s="85" t="s">
        <v>14</v>
      </c>
      <c r="E68" s="60">
        <v>119</v>
      </c>
      <c r="F68" s="63">
        <v>16</v>
      </c>
      <c r="G68" s="64">
        <v>49</v>
      </c>
      <c r="H68" s="70">
        <f t="shared" si="17"/>
        <v>34.3</v>
      </c>
      <c r="I68" s="67">
        <v>0</v>
      </c>
      <c r="J68" s="136">
        <f t="shared" si="25"/>
        <v>270.06185567010317</v>
      </c>
      <c r="K68" s="54"/>
      <c r="L68" s="54"/>
      <c r="M68" s="140"/>
      <c r="N68" s="54"/>
      <c r="O68" s="54"/>
      <c r="P68" s="54"/>
      <c r="Q68" s="54"/>
      <c r="R68" s="54"/>
      <c r="S68" s="54"/>
      <c r="T68" s="54"/>
      <c r="U68" s="54"/>
      <c r="W68" s="58"/>
      <c r="X68" s="141"/>
    </row>
    <row r="69" spans="2:24" ht="12.75" hidden="1">
      <c r="B69" s="174" t="s">
        <v>6</v>
      </c>
      <c r="D69" s="85" t="s">
        <v>15</v>
      </c>
      <c r="E69" s="60">
        <v>71</v>
      </c>
      <c r="F69" s="63">
        <v>20</v>
      </c>
      <c r="G69" s="64">
        <v>25</v>
      </c>
      <c r="H69" s="70">
        <f t="shared" si="17"/>
        <v>17.5</v>
      </c>
      <c r="I69" s="67">
        <v>11</v>
      </c>
      <c r="J69" s="136">
        <f t="shared" si="25"/>
        <v>178.76288659793815</v>
      </c>
      <c r="K69" s="54"/>
      <c r="L69" s="54"/>
      <c r="M69" s="140"/>
      <c r="N69" s="54"/>
      <c r="O69" s="54"/>
      <c r="P69" s="54"/>
      <c r="Q69" s="54"/>
      <c r="R69" s="54"/>
      <c r="S69" s="54"/>
      <c r="T69" s="54"/>
      <c r="U69" s="54"/>
      <c r="W69" s="58"/>
      <c r="X69" s="141"/>
    </row>
    <row r="70" spans="2:24" ht="12.75" hidden="1">
      <c r="B70" s="174" t="s">
        <v>63</v>
      </c>
      <c r="D70" s="85" t="s">
        <v>16</v>
      </c>
      <c r="E70" s="60">
        <v>53</v>
      </c>
      <c r="F70" s="63">
        <v>56</v>
      </c>
      <c r="G70" s="64">
        <v>59</v>
      </c>
      <c r="H70" s="70">
        <f t="shared" si="17"/>
        <v>41.3</v>
      </c>
      <c r="I70" s="67">
        <v>8</v>
      </c>
      <c r="J70" s="136">
        <f t="shared" si="25"/>
        <v>268.8247422680413</v>
      </c>
      <c r="K70" s="54"/>
      <c r="L70" s="54"/>
      <c r="M70" s="140"/>
      <c r="N70" s="54"/>
      <c r="O70" s="54"/>
      <c r="P70" s="54"/>
      <c r="Q70" s="54"/>
      <c r="R70" s="54"/>
      <c r="S70" s="54"/>
      <c r="T70" s="54"/>
      <c r="U70" s="54"/>
      <c r="W70" s="58"/>
      <c r="X70" s="141"/>
    </row>
    <row r="71" spans="2:24" ht="12.75" hidden="1">
      <c r="B71" s="174" t="s">
        <v>63</v>
      </c>
      <c r="D71" s="85" t="s">
        <v>17</v>
      </c>
      <c r="E71" s="60">
        <v>133</v>
      </c>
      <c r="F71" s="63">
        <v>284</v>
      </c>
      <c r="G71" s="64">
        <v>57</v>
      </c>
      <c r="H71" s="70">
        <f aca="true" t="shared" si="26" ref="H71:H102">G71*0.7</f>
        <v>39.9</v>
      </c>
      <c r="I71" s="67">
        <v>5</v>
      </c>
      <c r="J71" s="136">
        <f t="shared" si="25"/>
        <v>641.9381443298969</v>
      </c>
      <c r="K71" s="54"/>
      <c r="L71" s="54"/>
      <c r="M71" s="140"/>
      <c r="N71" s="54"/>
      <c r="O71" s="54"/>
      <c r="P71" s="54"/>
      <c r="Q71" s="54"/>
      <c r="R71" s="54"/>
      <c r="S71" s="54"/>
      <c r="T71" s="54"/>
      <c r="U71" s="54"/>
      <c r="W71" s="58"/>
      <c r="X71" s="141"/>
    </row>
    <row r="72" spans="2:24" ht="12.75" hidden="1">
      <c r="B72" s="174" t="s">
        <v>63</v>
      </c>
      <c r="D72" s="85" t="s">
        <v>19</v>
      </c>
      <c r="E72" s="60">
        <v>23</v>
      </c>
      <c r="F72" s="63">
        <v>12</v>
      </c>
      <c r="G72" s="64">
        <v>6</v>
      </c>
      <c r="H72" s="70">
        <f t="shared" si="26"/>
        <v>4.199999999999999</v>
      </c>
      <c r="I72" s="67">
        <v>4</v>
      </c>
      <c r="J72" s="136">
        <f t="shared" si="25"/>
        <v>60.86597938144331</v>
      </c>
      <c r="K72" s="54"/>
      <c r="L72" s="54"/>
      <c r="M72" s="140"/>
      <c r="N72" s="54"/>
      <c r="O72" s="54"/>
      <c r="P72" s="54"/>
      <c r="Q72" s="54"/>
      <c r="R72" s="54"/>
      <c r="S72" s="54"/>
      <c r="T72" s="54"/>
      <c r="U72" s="54"/>
      <c r="W72" s="58"/>
      <c r="X72" s="141"/>
    </row>
    <row r="73" spans="2:24" ht="12.75" hidden="1">
      <c r="B73" s="174" t="s">
        <v>63</v>
      </c>
      <c r="D73" s="85" t="s">
        <v>21</v>
      </c>
      <c r="E73" s="60">
        <v>31</v>
      </c>
      <c r="F73" s="63">
        <v>49</v>
      </c>
      <c r="G73" s="64">
        <v>37</v>
      </c>
      <c r="H73" s="70">
        <f t="shared" si="26"/>
        <v>25.9</v>
      </c>
      <c r="I73" s="67">
        <v>3</v>
      </c>
      <c r="J73" s="136">
        <f t="shared" si="25"/>
        <v>180.49484536082477</v>
      </c>
      <c r="K73" s="54"/>
      <c r="L73" s="54"/>
      <c r="M73" s="140"/>
      <c r="N73" s="54"/>
      <c r="O73" s="54"/>
      <c r="P73" s="54"/>
      <c r="Q73" s="54"/>
      <c r="R73" s="54"/>
      <c r="S73" s="54"/>
      <c r="T73" s="54"/>
      <c r="U73" s="54"/>
      <c r="W73" s="58"/>
      <c r="X73" s="141"/>
    </row>
    <row r="74" spans="2:24" ht="12.75" hidden="1">
      <c r="B74" s="174" t="s">
        <v>63</v>
      </c>
      <c r="D74" s="85" t="s">
        <v>22</v>
      </c>
      <c r="E74" s="60">
        <v>12</v>
      </c>
      <c r="F74" s="63">
        <v>7</v>
      </c>
      <c r="G74" s="64">
        <v>3</v>
      </c>
      <c r="H74" s="70">
        <f t="shared" si="26"/>
        <v>2.0999999999999996</v>
      </c>
      <c r="I74" s="67">
        <v>2</v>
      </c>
      <c r="J74" s="136">
        <f t="shared" si="25"/>
        <v>32.28865979381444</v>
      </c>
      <c r="K74" s="54"/>
      <c r="L74" s="54"/>
      <c r="M74" s="140"/>
      <c r="N74" s="54"/>
      <c r="O74" s="54"/>
      <c r="P74" s="54"/>
      <c r="Q74" s="54"/>
      <c r="R74" s="54"/>
      <c r="S74" s="54"/>
      <c r="T74" s="54"/>
      <c r="U74" s="54"/>
      <c r="W74" s="58"/>
      <c r="X74" s="141"/>
    </row>
    <row r="75" spans="2:24" ht="12.75" hidden="1">
      <c r="B75" s="174" t="s">
        <v>63</v>
      </c>
      <c r="D75" s="85" t="s">
        <v>20</v>
      </c>
      <c r="E75" s="60">
        <v>69</v>
      </c>
      <c r="F75" s="63">
        <v>42</v>
      </c>
      <c r="G75" s="64">
        <v>39</v>
      </c>
      <c r="H75" s="70">
        <f t="shared" si="26"/>
        <v>27.299999999999997</v>
      </c>
      <c r="I75" s="67">
        <v>7</v>
      </c>
      <c r="J75" s="136">
        <f t="shared" si="25"/>
        <v>228.00000000000006</v>
      </c>
      <c r="K75" s="54"/>
      <c r="L75" s="54"/>
      <c r="M75" s="140"/>
      <c r="N75" s="54"/>
      <c r="O75" s="54"/>
      <c r="P75" s="54"/>
      <c r="Q75" s="54"/>
      <c r="R75" s="54"/>
      <c r="S75" s="54"/>
      <c r="T75" s="54"/>
      <c r="U75" s="54"/>
      <c r="W75" s="58"/>
      <c r="X75" s="141"/>
    </row>
    <row r="76" spans="2:24" ht="12.75" hidden="1">
      <c r="B76" s="174" t="s">
        <v>63</v>
      </c>
      <c r="D76" s="85" t="s">
        <v>18</v>
      </c>
      <c r="E76" s="60">
        <v>15</v>
      </c>
      <c r="F76" s="63">
        <v>7</v>
      </c>
      <c r="G76" s="64">
        <v>13</v>
      </c>
      <c r="H76" s="70">
        <f t="shared" si="26"/>
        <v>9.1</v>
      </c>
      <c r="I76" s="67">
        <v>2</v>
      </c>
      <c r="J76" s="136">
        <f t="shared" si="25"/>
        <v>57.03092783505156</v>
      </c>
      <c r="K76" s="54"/>
      <c r="L76" s="54"/>
      <c r="M76" s="140"/>
      <c r="N76" s="54"/>
      <c r="O76" s="54"/>
      <c r="P76" s="54"/>
      <c r="Q76" s="54"/>
      <c r="R76" s="54"/>
      <c r="S76" s="54"/>
      <c r="T76" s="54"/>
      <c r="U76" s="54"/>
      <c r="W76" s="58"/>
      <c r="X76" s="141"/>
    </row>
    <row r="77" spans="2:24" ht="12.75" hidden="1">
      <c r="B77" s="174" t="s">
        <v>26</v>
      </c>
      <c r="D77" s="85" t="s">
        <v>23</v>
      </c>
      <c r="E77" s="60">
        <v>31</v>
      </c>
      <c r="F77" s="63">
        <v>17</v>
      </c>
      <c r="G77" s="64">
        <v>14</v>
      </c>
      <c r="H77" s="70">
        <f t="shared" si="26"/>
        <v>9.799999999999999</v>
      </c>
      <c r="I77" s="67">
        <v>1</v>
      </c>
      <c r="J77" s="136">
        <f t="shared" si="25"/>
        <v>90.06185567010309</v>
      </c>
      <c r="K77" s="54"/>
      <c r="L77" s="54"/>
      <c r="M77" s="140"/>
      <c r="N77" s="54"/>
      <c r="O77" s="54"/>
      <c r="P77" s="54"/>
      <c r="Q77" s="54"/>
      <c r="R77" s="54"/>
      <c r="S77" s="54"/>
      <c r="T77" s="54"/>
      <c r="U77" s="54"/>
      <c r="W77" s="58"/>
      <c r="X77" s="141"/>
    </row>
    <row r="78" spans="2:24" ht="12.75" hidden="1">
      <c r="B78" s="174" t="s">
        <v>26</v>
      </c>
      <c r="D78" s="85" t="s">
        <v>24</v>
      </c>
      <c r="E78" s="60">
        <v>43</v>
      </c>
      <c r="F78" s="63">
        <v>17</v>
      </c>
      <c r="G78" s="64">
        <v>9</v>
      </c>
      <c r="H78" s="70">
        <f t="shared" si="26"/>
        <v>6.3</v>
      </c>
      <c r="I78" s="67">
        <v>7</v>
      </c>
      <c r="J78" s="136">
        <f t="shared" si="25"/>
        <v>101.81443298969072</v>
      </c>
      <c r="K78" s="54"/>
      <c r="L78" s="54"/>
      <c r="M78" s="140"/>
      <c r="N78" s="54"/>
      <c r="O78" s="54"/>
      <c r="P78" s="54"/>
      <c r="Q78" s="54"/>
      <c r="R78" s="54"/>
      <c r="S78" s="54"/>
      <c r="T78" s="54"/>
      <c r="U78" s="54"/>
      <c r="W78" s="58"/>
      <c r="X78" s="141"/>
    </row>
    <row r="79" spans="2:24" ht="12.75" hidden="1">
      <c r="B79" s="174" t="s">
        <v>26</v>
      </c>
      <c r="D79" s="85" t="s">
        <v>25</v>
      </c>
      <c r="E79" s="60">
        <v>301</v>
      </c>
      <c r="F79" s="63">
        <v>132</v>
      </c>
      <c r="G79" s="64">
        <v>107</v>
      </c>
      <c r="H79" s="70">
        <f t="shared" si="26"/>
        <v>74.89999999999999</v>
      </c>
      <c r="I79" s="67">
        <v>0</v>
      </c>
      <c r="J79" s="136">
        <f t="shared" si="25"/>
        <v>760.7010309278351</v>
      </c>
      <c r="K79" s="54"/>
      <c r="L79" s="54"/>
      <c r="M79" s="140"/>
      <c r="N79" s="54"/>
      <c r="O79" s="54"/>
      <c r="P79" s="54"/>
      <c r="Q79" s="54"/>
      <c r="R79" s="54"/>
      <c r="S79" s="54"/>
      <c r="T79" s="54"/>
      <c r="U79" s="54"/>
      <c r="W79" s="58"/>
      <c r="X79" s="141"/>
    </row>
    <row r="80" spans="2:24" ht="12.75" hidden="1">
      <c r="B80" s="174" t="s">
        <v>26</v>
      </c>
      <c r="D80" s="85" t="s">
        <v>26</v>
      </c>
      <c r="E80" s="60">
        <v>304</v>
      </c>
      <c r="F80" s="63">
        <v>206</v>
      </c>
      <c r="G80" s="64">
        <v>57</v>
      </c>
      <c r="H80" s="70">
        <f t="shared" si="26"/>
        <v>39.9</v>
      </c>
      <c r="I80" s="67">
        <v>28</v>
      </c>
      <c r="J80" s="136">
        <f t="shared" si="25"/>
        <v>785.4432989690722</v>
      </c>
      <c r="K80" s="54"/>
      <c r="L80" s="54"/>
      <c r="M80" s="140"/>
      <c r="N80" s="54"/>
      <c r="O80" s="54"/>
      <c r="P80" s="54"/>
      <c r="Q80" s="54"/>
      <c r="R80" s="54"/>
      <c r="S80" s="54"/>
      <c r="T80" s="54"/>
      <c r="U80" s="54"/>
      <c r="W80" s="58"/>
      <c r="X80" s="141"/>
    </row>
    <row r="81" spans="2:24" ht="12.75" hidden="1">
      <c r="B81" s="174" t="s">
        <v>26</v>
      </c>
      <c r="D81" s="85" t="s">
        <v>27</v>
      </c>
      <c r="E81" s="60">
        <v>128</v>
      </c>
      <c r="F81" s="63">
        <v>174</v>
      </c>
      <c r="G81" s="64">
        <v>31</v>
      </c>
      <c r="H81" s="70">
        <f t="shared" si="26"/>
        <v>21.7</v>
      </c>
      <c r="I81" s="67">
        <v>20</v>
      </c>
      <c r="J81" s="136">
        <f t="shared" si="25"/>
        <v>463.54639175257734</v>
      </c>
      <c r="K81" s="54"/>
      <c r="L81" s="54"/>
      <c r="M81" s="140"/>
      <c r="N81" s="54"/>
      <c r="O81" s="54"/>
      <c r="P81" s="54"/>
      <c r="Q81" s="54"/>
      <c r="R81" s="54"/>
      <c r="S81" s="54"/>
      <c r="T81" s="54"/>
      <c r="U81" s="54"/>
      <c r="W81" s="58"/>
      <c r="X81" s="141"/>
    </row>
    <row r="82" spans="2:24" ht="12.75" hidden="1">
      <c r="B82" s="174" t="s">
        <v>26</v>
      </c>
      <c r="D82" s="85" t="s">
        <v>28</v>
      </c>
      <c r="E82" s="60">
        <v>63</v>
      </c>
      <c r="F82" s="63">
        <v>36</v>
      </c>
      <c r="G82" s="64">
        <v>25</v>
      </c>
      <c r="H82" s="70">
        <f t="shared" si="26"/>
        <v>17.5</v>
      </c>
      <c r="I82" s="67">
        <v>18</v>
      </c>
      <c r="J82" s="136">
        <f t="shared" si="25"/>
        <v>197.319587628866</v>
      </c>
      <c r="K82" s="54"/>
      <c r="L82" s="54"/>
      <c r="M82" s="140"/>
      <c r="N82" s="54"/>
      <c r="O82" s="54"/>
      <c r="P82" s="54"/>
      <c r="Q82" s="54"/>
      <c r="R82" s="54"/>
      <c r="S82" s="54"/>
      <c r="T82" s="54"/>
      <c r="U82" s="54"/>
      <c r="W82" s="58"/>
      <c r="X82" s="141"/>
    </row>
    <row r="83" spans="2:24" ht="12.75" hidden="1">
      <c r="B83" s="174" t="s">
        <v>26</v>
      </c>
      <c r="D83" s="85" t="s">
        <v>29</v>
      </c>
      <c r="E83" s="60">
        <v>47</v>
      </c>
      <c r="F83" s="63">
        <v>20</v>
      </c>
      <c r="G83" s="64">
        <v>20</v>
      </c>
      <c r="H83" s="70">
        <f t="shared" si="26"/>
        <v>14</v>
      </c>
      <c r="I83" s="67">
        <v>15</v>
      </c>
      <c r="J83" s="136">
        <f t="shared" si="25"/>
        <v>143.50515463917526</v>
      </c>
      <c r="K83" s="54"/>
      <c r="L83" s="54"/>
      <c r="M83" s="140"/>
      <c r="N83" s="54"/>
      <c r="O83" s="54"/>
      <c r="P83" s="54"/>
      <c r="Q83" s="54"/>
      <c r="R83" s="54"/>
      <c r="S83" s="54"/>
      <c r="T83" s="54"/>
      <c r="U83" s="54"/>
      <c r="W83" s="58"/>
      <c r="X83" s="141"/>
    </row>
    <row r="84" spans="2:24" ht="12.75" hidden="1">
      <c r="B84" s="174" t="s">
        <v>45</v>
      </c>
      <c r="D84" s="85" t="s">
        <v>30</v>
      </c>
      <c r="E84" s="60">
        <v>51</v>
      </c>
      <c r="F84" s="63">
        <v>16</v>
      </c>
      <c r="G84" s="64">
        <v>17</v>
      </c>
      <c r="H84" s="70">
        <f t="shared" si="26"/>
        <v>11.899999999999999</v>
      </c>
      <c r="I84" s="67">
        <v>7</v>
      </c>
      <c r="J84" s="136">
        <f t="shared" si="25"/>
        <v>127.29896907216498</v>
      </c>
      <c r="K84" s="54"/>
      <c r="L84" s="54"/>
      <c r="M84" s="140"/>
      <c r="N84" s="54"/>
      <c r="O84" s="54"/>
      <c r="P84" s="54"/>
      <c r="Q84" s="54"/>
      <c r="R84" s="54"/>
      <c r="S84" s="54"/>
      <c r="T84" s="54"/>
      <c r="U84" s="54"/>
      <c r="W84" s="58"/>
      <c r="X84" s="141"/>
    </row>
    <row r="85" spans="2:24" ht="12.75" hidden="1">
      <c r="B85" s="174" t="s">
        <v>45</v>
      </c>
      <c r="D85" s="85" t="s">
        <v>31</v>
      </c>
      <c r="E85" s="60">
        <v>46</v>
      </c>
      <c r="F85" s="63">
        <v>9</v>
      </c>
      <c r="G85" s="64">
        <v>42</v>
      </c>
      <c r="H85" s="70">
        <f t="shared" si="26"/>
        <v>29.4</v>
      </c>
      <c r="I85" s="67">
        <v>1</v>
      </c>
      <c r="J85" s="136">
        <f t="shared" si="25"/>
        <v>157.60824742268045</v>
      </c>
      <c r="K85" s="54"/>
      <c r="L85" s="54"/>
      <c r="M85" s="140"/>
      <c r="N85" s="54"/>
      <c r="O85" s="54"/>
      <c r="P85" s="54"/>
      <c r="Q85" s="54"/>
      <c r="R85" s="54"/>
      <c r="S85" s="54"/>
      <c r="T85" s="54"/>
      <c r="U85" s="54"/>
      <c r="W85" s="58"/>
      <c r="X85" s="141"/>
    </row>
    <row r="86" spans="2:24" ht="12.75" hidden="1">
      <c r="B86" s="174" t="s">
        <v>45</v>
      </c>
      <c r="D86" s="85" t="s">
        <v>32</v>
      </c>
      <c r="E86" s="60">
        <v>32</v>
      </c>
      <c r="F86" s="63">
        <v>12</v>
      </c>
      <c r="G86" s="64">
        <v>14</v>
      </c>
      <c r="H86" s="70">
        <f t="shared" si="26"/>
        <v>9.799999999999999</v>
      </c>
      <c r="I86" s="67">
        <v>5</v>
      </c>
      <c r="J86" s="136">
        <f t="shared" si="25"/>
        <v>90.06185567010309</v>
      </c>
      <c r="K86" s="54"/>
      <c r="L86" s="54"/>
      <c r="M86" s="140"/>
      <c r="N86" s="54"/>
      <c r="O86" s="54"/>
      <c r="P86" s="54"/>
      <c r="Q86" s="54"/>
      <c r="R86" s="54"/>
      <c r="S86" s="54"/>
      <c r="T86" s="54"/>
      <c r="U86" s="54"/>
      <c r="W86" s="58"/>
      <c r="X86" s="141"/>
    </row>
    <row r="87" spans="2:24" ht="12.75" hidden="1">
      <c r="B87" s="174" t="s">
        <v>45</v>
      </c>
      <c r="D87" s="85" t="s">
        <v>64</v>
      </c>
      <c r="E87" s="60">
        <v>23</v>
      </c>
      <c r="F87" s="63">
        <v>3</v>
      </c>
      <c r="G87" s="64">
        <v>4</v>
      </c>
      <c r="H87" s="70">
        <f t="shared" si="26"/>
        <v>2.8</v>
      </c>
      <c r="I87" s="67">
        <v>2</v>
      </c>
      <c r="J87" s="136">
        <f t="shared" si="25"/>
        <v>43.051546391752574</v>
      </c>
      <c r="K87" s="54"/>
      <c r="L87" s="54"/>
      <c r="M87" s="140"/>
      <c r="N87" s="54"/>
      <c r="O87" s="54"/>
      <c r="P87" s="54"/>
      <c r="Q87" s="54"/>
      <c r="R87" s="54"/>
      <c r="S87" s="54"/>
      <c r="T87" s="54"/>
      <c r="U87" s="54"/>
      <c r="W87" s="58"/>
      <c r="X87" s="141"/>
    </row>
    <row r="88" spans="2:24" ht="12.75" hidden="1">
      <c r="B88" s="174" t="s">
        <v>45</v>
      </c>
      <c r="D88" s="85" t="s">
        <v>65</v>
      </c>
      <c r="E88" s="60">
        <v>62</v>
      </c>
      <c r="F88" s="63">
        <v>18</v>
      </c>
      <c r="G88" s="64">
        <v>21</v>
      </c>
      <c r="H88" s="70">
        <f t="shared" si="26"/>
        <v>14.7</v>
      </c>
      <c r="I88" s="67">
        <v>2</v>
      </c>
      <c r="J88" s="136">
        <f t="shared" si="25"/>
        <v>145.60824742268042</v>
      </c>
      <c r="K88" s="54"/>
      <c r="L88" s="54"/>
      <c r="M88" s="140"/>
      <c r="N88" s="54"/>
      <c r="O88" s="54"/>
      <c r="P88" s="54"/>
      <c r="Q88" s="54"/>
      <c r="R88" s="54"/>
      <c r="S88" s="54"/>
      <c r="T88" s="54"/>
      <c r="U88" s="54"/>
      <c r="W88" s="58"/>
      <c r="X88" s="141"/>
    </row>
    <row r="89" spans="2:24" ht="12.75" hidden="1">
      <c r="B89" s="174" t="s">
        <v>45</v>
      </c>
      <c r="D89" s="85" t="s">
        <v>35</v>
      </c>
      <c r="E89" s="60">
        <v>15</v>
      </c>
      <c r="F89" s="63">
        <v>1</v>
      </c>
      <c r="G89" s="64">
        <v>1</v>
      </c>
      <c r="H89" s="70">
        <f t="shared" si="26"/>
        <v>0.7</v>
      </c>
      <c r="I89" s="67">
        <v>1</v>
      </c>
      <c r="J89" s="136">
        <f t="shared" si="25"/>
        <v>23.1340206185567</v>
      </c>
      <c r="K89" s="54"/>
      <c r="L89" s="54"/>
      <c r="M89" s="140"/>
      <c r="N89" s="54"/>
      <c r="O89" s="54"/>
      <c r="P89" s="54"/>
      <c r="Q89" s="54"/>
      <c r="R89" s="54"/>
      <c r="S89" s="54"/>
      <c r="T89" s="54"/>
      <c r="U89" s="54"/>
      <c r="W89" s="58"/>
      <c r="X89" s="141"/>
    </row>
    <row r="90" spans="2:24" ht="12.75" hidden="1">
      <c r="B90" s="174" t="s">
        <v>45</v>
      </c>
      <c r="D90" s="85" t="s">
        <v>36</v>
      </c>
      <c r="E90" s="60">
        <v>28</v>
      </c>
      <c r="F90" s="63">
        <v>2</v>
      </c>
      <c r="G90" s="64">
        <v>5</v>
      </c>
      <c r="H90" s="70">
        <f t="shared" si="26"/>
        <v>3.5</v>
      </c>
      <c r="I90" s="67">
        <v>0</v>
      </c>
      <c r="J90" s="136">
        <f t="shared" si="25"/>
        <v>47.628865979381445</v>
      </c>
      <c r="K90" s="54"/>
      <c r="L90" s="54"/>
      <c r="M90" s="140"/>
      <c r="N90" s="54"/>
      <c r="O90" s="54"/>
      <c r="P90" s="54"/>
      <c r="Q90" s="54"/>
      <c r="R90" s="54"/>
      <c r="S90" s="54"/>
      <c r="T90" s="54"/>
      <c r="U90" s="54"/>
      <c r="W90" s="58"/>
      <c r="X90" s="141"/>
    </row>
    <row r="91" spans="2:24" ht="12.75" hidden="1">
      <c r="B91" s="174" t="s">
        <v>45</v>
      </c>
      <c r="D91" s="85" t="s">
        <v>37</v>
      </c>
      <c r="E91" s="60">
        <v>20</v>
      </c>
      <c r="F91" s="63">
        <v>3</v>
      </c>
      <c r="G91" s="64">
        <v>3</v>
      </c>
      <c r="H91" s="70">
        <f t="shared" si="26"/>
        <v>2.0999999999999996</v>
      </c>
      <c r="I91" s="67">
        <v>0</v>
      </c>
      <c r="J91" s="136">
        <f t="shared" si="25"/>
        <v>34.76288659793815</v>
      </c>
      <c r="K91" s="54"/>
      <c r="L91" s="54"/>
      <c r="M91" s="140"/>
      <c r="N91" s="54"/>
      <c r="O91" s="54"/>
      <c r="P91" s="54"/>
      <c r="Q91" s="54"/>
      <c r="R91" s="54"/>
      <c r="S91" s="54"/>
      <c r="T91" s="54"/>
      <c r="U91" s="54"/>
      <c r="W91" s="58"/>
      <c r="X91" s="141"/>
    </row>
    <row r="92" spans="2:24" ht="12.75" hidden="1">
      <c r="B92" s="174" t="s">
        <v>45</v>
      </c>
      <c r="D92" s="85" t="s">
        <v>38</v>
      </c>
      <c r="E92" s="60">
        <v>12</v>
      </c>
      <c r="F92" s="63">
        <v>0</v>
      </c>
      <c r="G92" s="64">
        <v>2</v>
      </c>
      <c r="H92" s="70">
        <f t="shared" si="26"/>
        <v>1.4</v>
      </c>
      <c r="I92" s="67">
        <v>1</v>
      </c>
      <c r="J92" s="136">
        <f t="shared" si="25"/>
        <v>20.288659793814432</v>
      </c>
      <c r="K92" s="54"/>
      <c r="L92" s="54"/>
      <c r="M92" s="140"/>
      <c r="N92" s="54"/>
      <c r="O92" s="54"/>
      <c r="P92" s="54"/>
      <c r="Q92" s="54"/>
      <c r="R92" s="54"/>
      <c r="S92" s="54"/>
      <c r="T92" s="54"/>
      <c r="U92" s="54"/>
      <c r="W92" s="58"/>
      <c r="X92" s="141"/>
    </row>
    <row r="93" spans="2:24" ht="12.75" hidden="1">
      <c r="B93" s="174" t="s">
        <v>45</v>
      </c>
      <c r="D93" s="85" t="s">
        <v>39</v>
      </c>
      <c r="E93" s="60">
        <v>57</v>
      </c>
      <c r="F93" s="63">
        <v>12</v>
      </c>
      <c r="G93" s="64">
        <v>17</v>
      </c>
      <c r="H93" s="70">
        <f t="shared" si="26"/>
        <v>11.899999999999999</v>
      </c>
      <c r="I93" s="67">
        <v>0</v>
      </c>
      <c r="J93" s="136">
        <f t="shared" si="25"/>
        <v>121.1134020618557</v>
      </c>
      <c r="K93" s="54"/>
      <c r="L93" s="54"/>
      <c r="M93" s="140"/>
      <c r="N93" s="54"/>
      <c r="O93" s="54"/>
      <c r="P93" s="54"/>
      <c r="Q93" s="54"/>
      <c r="R93" s="54"/>
      <c r="S93" s="54"/>
      <c r="T93" s="54"/>
      <c r="U93" s="54"/>
      <c r="W93" s="58"/>
      <c r="X93" s="141"/>
    </row>
    <row r="94" spans="2:24" ht="12.75" hidden="1">
      <c r="B94" s="174" t="s">
        <v>45</v>
      </c>
      <c r="D94" s="85" t="s">
        <v>40</v>
      </c>
      <c r="E94" s="60">
        <v>13</v>
      </c>
      <c r="F94" s="63">
        <v>1</v>
      </c>
      <c r="G94" s="64">
        <v>2</v>
      </c>
      <c r="H94" s="70">
        <f t="shared" si="26"/>
        <v>1.4</v>
      </c>
      <c r="I94" s="67">
        <v>5</v>
      </c>
      <c r="J94" s="136">
        <f aca="true" t="shared" si="27" ref="J94:J117">SUM(E94:I94)*12/9.7</f>
        <v>27.711340206185564</v>
      </c>
      <c r="K94" s="54"/>
      <c r="L94" s="54"/>
      <c r="M94" s="140"/>
      <c r="N94" s="54"/>
      <c r="O94" s="54"/>
      <c r="P94" s="54"/>
      <c r="Q94" s="54"/>
      <c r="R94" s="54"/>
      <c r="S94" s="54"/>
      <c r="T94" s="54"/>
      <c r="U94" s="54"/>
      <c r="W94" s="58"/>
      <c r="X94" s="141"/>
    </row>
    <row r="95" spans="2:24" ht="12.75" hidden="1">
      <c r="B95" s="174" t="s">
        <v>45</v>
      </c>
      <c r="D95" s="85" t="s">
        <v>41</v>
      </c>
      <c r="E95" s="60">
        <v>69</v>
      </c>
      <c r="F95" s="63">
        <v>12</v>
      </c>
      <c r="G95" s="64">
        <v>23</v>
      </c>
      <c r="H95" s="70">
        <f t="shared" si="26"/>
        <v>16.099999999999998</v>
      </c>
      <c r="I95" s="67">
        <v>4</v>
      </c>
      <c r="J95" s="136">
        <f t="shared" si="27"/>
        <v>153.52577319587627</v>
      </c>
      <c r="K95" s="54"/>
      <c r="L95" s="54"/>
      <c r="M95" s="140"/>
      <c r="N95" s="54"/>
      <c r="O95" s="54"/>
      <c r="P95" s="54"/>
      <c r="Q95" s="54"/>
      <c r="R95" s="54"/>
      <c r="S95" s="54"/>
      <c r="T95" s="54"/>
      <c r="U95" s="54"/>
      <c r="W95" s="58"/>
      <c r="X95" s="141"/>
    </row>
    <row r="96" spans="2:24" ht="12.75" hidden="1">
      <c r="B96" s="174" t="s">
        <v>45</v>
      </c>
      <c r="D96" s="85" t="s">
        <v>42</v>
      </c>
      <c r="E96" s="60">
        <v>27</v>
      </c>
      <c r="F96" s="63">
        <v>3</v>
      </c>
      <c r="G96" s="64">
        <v>9</v>
      </c>
      <c r="H96" s="70">
        <f t="shared" si="26"/>
        <v>6.3</v>
      </c>
      <c r="I96" s="67">
        <v>0</v>
      </c>
      <c r="J96" s="136">
        <f t="shared" si="27"/>
        <v>56.041237113402055</v>
      </c>
      <c r="K96" s="54"/>
      <c r="L96" s="54"/>
      <c r="M96" s="140"/>
      <c r="N96" s="54"/>
      <c r="O96" s="54"/>
      <c r="P96" s="54"/>
      <c r="Q96" s="54"/>
      <c r="R96" s="54"/>
      <c r="S96" s="54"/>
      <c r="T96" s="54"/>
      <c r="U96" s="54"/>
      <c r="W96" s="58"/>
      <c r="X96" s="141"/>
    </row>
    <row r="97" spans="2:24" ht="12.75" hidden="1">
      <c r="B97" s="174" t="s">
        <v>45</v>
      </c>
      <c r="D97" s="85" t="s">
        <v>43</v>
      </c>
      <c r="E97" s="60">
        <v>32</v>
      </c>
      <c r="F97" s="63">
        <v>5</v>
      </c>
      <c r="G97" s="64">
        <v>10</v>
      </c>
      <c r="H97" s="70">
        <f t="shared" si="26"/>
        <v>7</v>
      </c>
      <c r="I97" s="67">
        <v>3</v>
      </c>
      <c r="J97" s="136">
        <f t="shared" si="27"/>
        <v>70.51546391752578</v>
      </c>
      <c r="K97" s="54"/>
      <c r="L97" s="54"/>
      <c r="M97" s="140"/>
      <c r="N97" s="54"/>
      <c r="O97" s="54"/>
      <c r="P97" s="54"/>
      <c r="Q97" s="54"/>
      <c r="R97" s="54"/>
      <c r="S97" s="54"/>
      <c r="T97" s="54"/>
      <c r="U97" s="54"/>
      <c r="W97" s="58"/>
      <c r="X97" s="141"/>
    </row>
    <row r="98" spans="2:24" ht="12.75" hidden="1">
      <c r="B98" s="174" t="s">
        <v>45</v>
      </c>
      <c r="D98" s="85" t="s">
        <v>44</v>
      </c>
      <c r="E98" s="60">
        <v>95</v>
      </c>
      <c r="F98" s="63">
        <v>13</v>
      </c>
      <c r="G98" s="64">
        <v>31</v>
      </c>
      <c r="H98" s="70">
        <f t="shared" si="26"/>
        <v>21.7</v>
      </c>
      <c r="I98" s="67">
        <v>5</v>
      </c>
      <c r="J98" s="136">
        <f t="shared" si="27"/>
        <v>204.98969072164948</v>
      </c>
      <c r="K98" s="54"/>
      <c r="L98" s="54"/>
      <c r="M98" s="140"/>
      <c r="N98" s="54"/>
      <c r="O98" s="54"/>
      <c r="P98" s="54"/>
      <c r="Q98" s="54"/>
      <c r="R98" s="54"/>
      <c r="S98" s="54"/>
      <c r="T98" s="54"/>
      <c r="U98" s="54"/>
      <c r="W98" s="58"/>
      <c r="X98" s="141"/>
    </row>
    <row r="99" spans="2:24" ht="12.75" hidden="1">
      <c r="B99" s="174" t="s">
        <v>45</v>
      </c>
      <c r="D99" s="85" t="s">
        <v>45</v>
      </c>
      <c r="E99" s="60">
        <v>95</v>
      </c>
      <c r="F99" s="63">
        <v>21</v>
      </c>
      <c r="G99" s="64">
        <v>43</v>
      </c>
      <c r="H99" s="70">
        <f t="shared" si="26"/>
        <v>30.099999999999998</v>
      </c>
      <c r="I99" s="67">
        <v>2</v>
      </c>
      <c r="J99" s="136">
        <f t="shared" si="27"/>
        <v>236.41237113402062</v>
      </c>
      <c r="K99" s="54"/>
      <c r="L99" s="54"/>
      <c r="M99" s="140"/>
      <c r="N99" s="54"/>
      <c r="O99" s="54"/>
      <c r="P99" s="54"/>
      <c r="Q99" s="54"/>
      <c r="R99" s="54"/>
      <c r="S99" s="54"/>
      <c r="T99" s="54"/>
      <c r="U99" s="54"/>
      <c r="W99" s="58"/>
      <c r="X99" s="141"/>
    </row>
    <row r="100" spans="2:24" ht="12.75" hidden="1">
      <c r="B100" s="174" t="s">
        <v>45</v>
      </c>
      <c r="D100" s="85" t="s">
        <v>46</v>
      </c>
      <c r="E100" s="60">
        <v>55</v>
      </c>
      <c r="F100" s="63">
        <v>4</v>
      </c>
      <c r="G100" s="64">
        <v>22</v>
      </c>
      <c r="H100" s="70">
        <f t="shared" si="26"/>
        <v>15.399999999999999</v>
      </c>
      <c r="I100" s="67">
        <v>8</v>
      </c>
      <c r="J100" s="136">
        <f t="shared" si="27"/>
        <v>129.15463917525776</v>
      </c>
      <c r="K100" s="54"/>
      <c r="L100" s="54"/>
      <c r="M100" s="140"/>
      <c r="N100" s="54"/>
      <c r="O100" s="54"/>
      <c r="P100" s="54"/>
      <c r="Q100" s="54"/>
      <c r="R100" s="54"/>
      <c r="S100" s="54"/>
      <c r="T100" s="54"/>
      <c r="U100" s="54"/>
      <c r="W100" s="58"/>
      <c r="X100" s="141"/>
    </row>
    <row r="101" spans="2:24" ht="12.75" hidden="1">
      <c r="B101" s="174" t="s">
        <v>45</v>
      </c>
      <c r="D101" s="85" t="s">
        <v>47</v>
      </c>
      <c r="E101" s="60">
        <v>75</v>
      </c>
      <c r="F101" s="63">
        <v>2</v>
      </c>
      <c r="G101" s="64">
        <v>27</v>
      </c>
      <c r="H101" s="70">
        <f t="shared" si="26"/>
        <v>18.9</v>
      </c>
      <c r="I101" s="67">
        <v>9</v>
      </c>
      <c r="J101" s="136">
        <f t="shared" si="27"/>
        <v>163.1752577319588</v>
      </c>
      <c r="K101" s="54"/>
      <c r="L101" s="54"/>
      <c r="M101" s="140"/>
      <c r="N101" s="54"/>
      <c r="O101" s="54"/>
      <c r="P101" s="54"/>
      <c r="Q101" s="54"/>
      <c r="R101" s="54"/>
      <c r="S101" s="54"/>
      <c r="T101" s="54"/>
      <c r="U101" s="54"/>
      <c r="W101" s="58"/>
      <c r="X101" s="141"/>
    </row>
    <row r="102" spans="2:24" ht="12.75" hidden="1">
      <c r="B102" s="174" t="s">
        <v>45</v>
      </c>
      <c r="D102" s="85" t="s">
        <v>48</v>
      </c>
      <c r="E102" s="60">
        <v>18</v>
      </c>
      <c r="F102" s="63">
        <v>0</v>
      </c>
      <c r="G102" s="64">
        <v>12</v>
      </c>
      <c r="H102" s="70">
        <f t="shared" si="26"/>
        <v>8.399999999999999</v>
      </c>
      <c r="I102" s="67">
        <v>0</v>
      </c>
      <c r="J102" s="136">
        <f t="shared" si="27"/>
        <v>47.50515463917526</v>
      </c>
      <c r="K102" s="54"/>
      <c r="L102" s="54"/>
      <c r="M102" s="140"/>
      <c r="N102" s="54"/>
      <c r="O102" s="54"/>
      <c r="P102" s="54"/>
      <c r="Q102" s="54"/>
      <c r="R102" s="54"/>
      <c r="S102" s="54"/>
      <c r="T102" s="54"/>
      <c r="U102" s="54"/>
      <c r="W102" s="58"/>
      <c r="X102" s="141"/>
    </row>
    <row r="103" spans="2:24" ht="12.75" hidden="1">
      <c r="B103" s="174" t="s">
        <v>66</v>
      </c>
      <c r="D103" s="85" t="s">
        <v>67</v>
      </c>
      <c r="E103" s="60">
        <v>0</v>
      </c>
      <c r="F103" s="63">
        <v>0</v>
      </c>
      <c r="G103" s="64">
        <v>0</v>
      </c>
      <c r="H103" s="70">
        <f aca="true" t="shared" si="28" ref="H103:H116">G103*0.7</f>
        <v>0</v>
      </c>
      <c r="I103" s="67">
        <v>6</v>
      </c>
      <c r="J103" s="136">
        <f t="shared" si="27"/>
        <v>7.422680412371134</v>
      </c>
      <c r="K103" s="54"/>
      <c r="L103" s="54"/>
      <c r="M103" s="140"/>
      <c r="N103" s="54"/>
      <c r="O103" s="54"/>
      <c r="P103" s="54"/>
      <c r="Q103" s="54"/>
      <c r="R103" s="54"/>
      <c r="S103" s="54"/>
      <c r="T103" s="54"/>
      <c r="U103" s="54"/>
      <c r="W103" s="58"/>
      <c r="X103" s="141"/>
    </row>
    <row r="104" spans="2:24" ht="12.75" hidden="1">
      <c r="B104" s="174" t="s">
        <v>66</v>
      </c>
      <c r="D104" s="85" t="s">
        <v>49</v>
      </c>
      <c r="E104" s="60">
        <v>133</v>
      </c>
      <c r="F104" s="63">
        <v>18</v>
      </c>
      <c r="G104" s="64">
        <v>32</v>
      </c>
      <c r="H104" s="70">
        <f t="shared" si="28"/>
        <v>22.4</v>
      </c>
      <c r="I104" s="67">
        <v>6</v>
      </c>
      <c r="J104" s="136">
        <f t="shared" si="27"/>
        <v>261.52577319587635</v>
      </c>
      <c r="K104" s="54"/>
      <c r="L104" s="54"/>
      <c r="M104" s="140"/>
      <c r="N104" s="54"/>
      <c r="O104" s="54"/>
      <c r="P104" s="54"/>
      <c r="Q104" s="54"/>
      <c r="R104" s="54"/>
      <c r="S104" s="54"/>
      <c r="T104" s="54"/>
      <c r="U104" s="54"/>
      <c r="W104" s="58"/>
      <c r="X104" s="141"/>
    </row>
    <row r="105" spans="2:24" ht="12.75" hidden="1">
      <c r="B105" s="174" t="s">
        <v>66</v>
      </c>
      <c r="D105" s="85" t="s">
        <v>50</v>
      </c>
      <c r="E105" s="60">
        <v>49</v>
      </c>
      <c r="F105" s="63">
        <v>24</v>
      </c>
      <c r="G105" s="64">
        <v>24</v>
      </c>
      <c r="H105" s="70">
        <f t="shared" si="28"/>
        <v>16.799999999999997</v>
      </c>
      <c r="I105" s="67">
        <v>22</v>
      </c>
      <c r="J105" s="136">
        <f t="shared" si="27"/>
        <v>168.00000000000003</v>
      </c>
      <c r="K105" s="54"/>
      <c r="L105" s="54"/>
      <c r="M105" s="140"/>
      <c r="N105" s="54"/>
      <c r="O105" s="54"/>
      <c r="P105" s="54"/>
      <c r="Q105" s="54"/>
      <c r="R105" s="54"/>
      <c r="S105" s="54"/>
      <c r="T105" s="54"/>
      <c r="U105" s="54"/>
      <c r="W105" s="58"/>
      <c r="X105" s="141"/>
    </row>
    <row r="106" spans="2:24" ht="12.75" hidden="1">
      <c r="B106" s="174" t="s">
        <v>66</v>
      </c>
      <c r="D106" s="85" t="s">
        <v>51</v>
      </c>
      <c r="E106" s="60">
        <v>31</v>
      </c>
      <c r="F106" s="63">
        <v>6</v>
      </c>
      <c r="G106" s="64">
        <v>8</v>
      </c>
      <c r="H106" s="70">
        <f t="shared" si="28"/>
        <v>5.6</v>
      </c>
      <c r="I106" s="67">
        <v>4</v>
      </c>
      <c r="J106" s="136">
        <f t="shared" si="27"/>
        <v>67.54639175257734</v>
      </c>
      <c r="K106" s="54"/>
      <c r="L106" s="54"/>
      <c r="M106" s="140"/>
      <c r="N106" s="54"/>
      <c r="O106" s="54"/>
      <c r="P106" s="54"/>
      <c r="Q106" s="54"/>
      <c r="R106" s="54"/>
      <c r="S106" s="54"/>
      <c r="T106" s="54"/>
      <c r="U106" s="54"/>
      <c r="W106" s="58"/>
      <c r="X106" s="141"/>
    </row>
    <row r="107" spans="2:24" ht="12.75" hidden="1">
      <c r="B107" s="174" t="s">
        <v>66</v>
      </c>
      <c r="D107" s="85" t="s">
        <v>52</v>
      </c>
      <c r="E107" s="60">
        <v>23</v>
      </c>
      <c r="F107" s="63">
        <v>4</v>
      </c>
      <c r="G107" s="64">
        <v>9</v>
      </c>
      <c r="H107" s="70">
        <f t="shared" si="28"/>
        <v>6.3</v>
      </c>
      <c r="I107" s="67">
        <v>1</v>
      </c>
      <c r="J107" s="136">
        <f t="shared" si="27"/>
        <v>53.567010309278345</v>
      </c>
      <c r="K107" s="54"/>
      <c r="L107" s="54"/>
      <c r="M107" s="140"/>
      <c r="N107" s="54"/>
      <c r="O107" s="54"/>
      <c r="P107" s="54"/>
      <c r="Q107" s="54"/>
      <c r="R107" s="54"/>
      <c r="S107" s="54"/>
      <c r="T107" s="54"/>
      <c r="U107" s="54"/>
      <c r="W107" s="58"/>
      <c r="X107" s="141"/>
    </row>
    <row r="108" spans="2:24" ht="12.75" hidden="1">
      <c r="B108" s="174" t="s">
        <v>66</v>
      </c>
      <c r="D108" s="85" t="s">
        <v>53</v>
      </c>
      <c r="E108" s="60">
        <v>93</v>
      </c>
      <c r="F108" s="63">
        <v>34</v>
      </c>
      <c r="G108" s="64">
        <v>49</v>
      </c>
      <c r="H108" s="70">
        <f t="shared" si="28"/>
        <v>34.3</v>
      </c>
      <c r="I108" s="67">
        <v>20</v>
      </c>
      <c r="J108" s="136">
        <f t="shared" si="27"/>
        <v>284.90721649484544</v>
      </c>
      <c r="K108" s="54"/>
      <c r="L108" s="54"/>
      <c r="M108" s="140"/>
      <c r="N108" s="54"/>
      <c r="O108" s="54"/>
      <c r="P108" s="54"/>
      <c r="Q108" s="54"/>
      <c r="R108" s="54"/>
      <c r="S108" s="54"/>
      <c r="T108" s="54"/>
      <c r="U108" s="54"/>
      <c r="W108" s="58"/>
      <c r="X108" s="141"/>
    </row>
    <row r="109" spans="2:24" ht="12.75" hidden="1">
      <c r="B109" s="174" t="s">
        <v>66</v>
      </c>
      <c r="D109" s="85" t="s">
        <v>68</v>
      </c>
      <c r="E109" s="60">
        <v>31</v>
      </c>
      <c r="F109" s="63">
        <v>22</v>
      </c>
      <c r="G109" s="64">
        <v>23</v>
      </c>
      <c r="H109" s="70">
        <f t="shared" si="28"/>
        <v>16.099999999999998</v>
      </c>
      <c r="I109" s="67">
        <v>6</v>
      </c>
      <c r="J109" s="136">
        <f t="shared" si="27"/>
        <v>121.36082474226804</v>
      </c>
      <c r="K109" s="54"/>
      <c r="L109" s="54"/>
      <c r="M109" s="140"/>
      <c r="N109" s="54"/>
      <c r="O109" s="54"/>
      <c r="P109" s="54"/>
      <c r="Q109" s="54"/>
      <c r="R109" s="54"/>
      <c r="S109" s="54"/>
      <c r="T109" s="54"/>
      <c r="U109" s="54"/>
      <c r="W109" s="58"/>
      <c r="X109" s="141"/>
    </row>
    <row r="110" spans="2:24" ht="12.75" hidden="1">
      <c r="B110" s="174" t="s">
        <v>69</v>
      </c>
      <c r="D110" s="85" t="s">
        <v>55</v>
      </c>
      <c r="E110" s="60">
        <v>33</v>
      </c>
      <c r="F110" s="63">
        <v>20</v>
      </c>
      <c r="G110" s="64">
        <v>34</v>
      </c>
      <c r="H110" s="70">
        <f t="shared" si="28"/>
        <v>23.799999999999997</v>
      </c>
      <c r="I110" s="67">
        <v>1</v>
      </c>
      <c r="J110" s="136">
        <f t="shared" si="27"/>
        <v>138.30927835051546</v>
      </c>
      <c r="K110" s="54"/>
      <c r="L110" s="54"/>
      <c r="M110" s="140"/>
      <c r="N110" s="54"/>
      <c r="O110" s="54"/>
      <c r="P110" s="54"/>
      <c r="Q110" s="54"/>
      <c r="R110" s="54"/>
      <c r="S110" s="54"/>
      <c r="T110" s="54"/>
      <c r="U110" s="54"/>
      <c r="W110" s="58"/>
      <c r="X110" s="141"/>
    </row>
    <row r="111" spans="2:24" ht="12.75" hidden="1">
      <c r="B111" s="174" t="s">
        <v>69</v>
      </c>
      <c r="D111" s="85" t="s">
        <v>56</v>
      </c>
      <c r="E111" s="60">
        <v>47</v>
      </c>
      <c r="F111" s="63">
        <v>13</v>
      </c>
      <c r="G111" s="64">
        <v>45</v>
      </c>
      <c r="H111" s="70">
        <f t="shared" si="28"/>
        <v>31.499999999999996</v>
      </c>
      <c r="I111" s="67">
        <v>10</v>
      </c>
      <c r="J111" s="136">
        <f t="shared" si="27"/>
        <v>181.23711340206188</v>
      </c>
      <c r="K111" s="54"/>
      <c r="L111" s="54"/>
      <c r="M111" s="140"/>
      <c r="N111" s="54"/>
      <c r="O111" s="54"/>
      <c r="P111" s="54"/>
      <c r="Q111" s="54"/>
      <c r="R111" s="54"/>
      <c r="S111" s="54"/>
      <c r="T111" s="54"/>
      <c r="U111" s="54"/>
      <c r="W111" s="58"/>
      <c r="X111" s="141"/>
    </row>
    <row r="112" spans="2:24" ht="12.75" hidden="1">
      <c r="B112" s="174" t="s">
        <v>69</v>
      </c>
      <c r="D112" s="85" t="s">
        <v>57</v>
      </c>
      <c r="E112" s="60">
        <v>40</v>
      </c>
      <c r="F112" s="63">
        <v>48</v>
      </c>
      <c r="G112" s="64">
        <v>19</v>
      </c>
      <c r="H112" s="70">
        <f t="shared" si="28"/>
        <v>13.299999999999999</v>
      </c>
      <c r="I112" s="67">
        <v>7</v>
      </c>
      <c r="J112" s="136">
        <f t="shared" si="27"/>
        <v>157.48453608247422</v>
      </c>
      <c r="K112" s="54"/>
      <c r="L112" s="54"/>
      <c r="M112" s="140"/>
      <c r="N112" s="54"/>
      <c r="O112" s="54"/>
      <c r="P112" s="54"/>
      <c r="Q112" s="54"/>
      <c r="R112" s="54"/>
      <c r="S112" s="54"/>
      <c r="T112" s="54"/>
      <c r="U112" s="54"/>
      <c r="W112" s="58"/>
      <c r="X112" s="141"/>
    </row>
    <row r="113" spans="2:24" ht="12.75" hidden="1">
      <c r="B113" s="174" t="s">
        <v>69</v>
      </c>
      <c r="D113" s="85" t="s">
        <v>58</v>
      </c>
      <c r="E113" s="60">
        <v>24</v>
      </c>
      <c r="F113" s="63">
        <v>0</v>
      </c>
      <c r="G113" s="64">
        <v>3</v>
      </c>
      <c r="H113" s="70">
        <f t="shared" si="28"/>
        <v>2.0999999999999996</v>
      </c>
      <c r="I113" s="67">
        <v>4</v>
      </c>
      <c r="J113" s="136">
        <f t="shared" si="27"/>
        <v>40.94845360824743</v>
      </c>
      <c r="K113" s="54"/>
      <c r="L113" s="54"/>
      <c r="M113" s="140"/>
      <c r="N113" s="54"/>
      <c r="O113" s="54"/>
      <c r="P113" s="54"/>
      <c r="Q113" s="54"/>
      <c r="R113" s="54"/>
      <c r="S113" s="54"/>
      <c r="T113" s="54"/>
      <c r="U113" s="54"/>
      <c r="W113" s="58"/>
      <c r="X113" s="141"/>
    </row>
    <row r="114" spans="2:24" ht="12.75" hidden="1">
      <c r="B114" s="174" t="s">
        <v>69</v>
      </c>
      <c r="D114" s="85" t="s">
        <v>59</v>
      </c>
      <c r="E114" s="60">
        <v>29</v>
      </c>
      <c r="F114" s="63">
        <v>7</v>
      </c>
      <c r="G114" s="64">
        <v>17</v>
      </c>
      <c r="H114" s="70">
        <f t="shared" si="28"/>
        <v>11.899999999999999</v>
      </c>
      <c r="I114" s="67">
        <v>9</v>
      </c>
      <c r="J114" s="136">
        <f t="shared" si="27"/>
        <v>91.42268041237115</v>
      </c>
      <c r="K114" s="54"/>
      <c r="L114" s="54"/>
      <c r="M114" s="140"/>
      <c r="N114" s="54"/>
      <c r="O114" s="54"/>
      <c r="P114" s="54"/>
      <c r="Q114" s="54"/>
      <c r="R114" s="54"/>
      <c r="S114" s="54"/>
      <c r="T114" s="54"/>
      <c r="U114" s="54"/>
      <c r="W114" s="58"/>
      <c r="X114" s="141"/>
    </row>
    <row r="115" spans="2:24" ht="12.75" hidden="1">
      <c r="B115" s="174" t="s">
        <v>69</v>
      </c>
      <c r="D115" s="85" t="s">
        <v>60</v>
      </c>
      <c r="E115" s="60">
        <v>84</v>
      </c>
      <c r="F115" s="63">
        <v>20</v>
      </c>
      <c r="G115" s="64">
        <v>41</v>
      </c>
      <c r="H115" s="70">
        <f t="shared" si="28"/>
        <v>28.7</v>
      </c>
      <c r="I115" s="67">
        <v>8</v>
      </c>
      <c r="J115" s="136">
        <f t="shared" si="27"/>
        <v>224.78350515463916</v>
      </c>
      <c r="K115" s="54"/>
      <c r="L115" s="54"/>
      <c r="M115" s="140"/>
      <c r="N115" s="54"/>
      <c r="O115" s="54"/>
      <c r="P115" s="54"/>
      <c r="Q115" s="54"/>
      <c r="R115" s="54"/>
      <c r="S115" s="54"/>
      <c r="T115" s="54"/>
      <c r="U115" s="54"/>
      <c r="W115" s="58"/>
      <c r="X115" s="141"/>
    </row>
    <row r="116" spans="2:24" ht="12.75" hidden="1">
      <c r="B116" s="174" t="s">
        <v>69</v>
      </c>
      <c r="D116" s="85" t="s">
        <v>61</v>
      </c>
      <c r="E116" s="60">
        <v>30</v>
      </c>
      <c r="F116" s="63">
        <v>20</v>
      </c>
      <c r="G116" s="64">
        <v>41</v>
      </c>
      <c r="H116" s="70">
        <f t="shared" si="28"/>
        <v>28.7</v>
      </c>
      <c r="I116" s="67">
        <v>4</v>
      </c>
      <c r="J116" s="136">
        <f t="shared" si="27"/>
        <v>153.03092783505156</v>
      </c>
      <c r="K116" s="54"/>
      <c r="L116" s="54"/>
      <c r="M116" s="140"/>
      <c r="N116" s="54"/>
      <c r="O116" s="54"/>
      <c r="P116" s="54"/>
      <c r="Q116" s="54"/>
      <c r="R116" s="54"/>
      <c r="S116" s="54"/>
      <c r="T116" s="54"/>
      <c r="U116" s="54"/>
      <c r="W116" s="58"/>
      <c r="X116" s="141"/>
    </row>
    <row r="117" spans="2:24" ht="12.75" hidden="1">
      <c r="B117" s="174" t="s">
        <v>69</v>
      </c>
      <c r="D117" s="85" t="s">
        <v>62</v>
      </c>
      <c r="E117" s="60">
        <v>30</v>
      </c>
      <c r="F117" s="63">
        <v>6</v>
      </c>
      <c r="G117" s="64">
        <v>17</v>
      </c>
      <c r="H117" s="8"/>
      <c r="I117" s="67">
        <v>2</v>
      </c>
      <c r="J117" s="136">
        <f t="shared" si="27"/>
        <v>68.04123711340206</v>
      </c>
      <c r="K117" s="54"/>
      <c r="L117" s="54"/>
      <c r="M117" s="140"/>
      <c r="N117" s="54"/>
      <c r="O117" s="54"/>
      <c r="P117" s="54"/>
      <c r="Q117" s="54"/>
      <c r="R117" s="54"/>
      <c r="S117" s="54"/>
      <c r="T117" s="54"/>
      <c r="U117" s="54"/>
      <c r="W117" s="58"/>
      <c r="X117" s="141"/>
    </row>
    <row r="118" spans="4:24" ht="12.75">
      <c r="D118" s="73"/>
      <c r="J118" s="15"/>
      <c r="K118" s="54"/>
      <c r="L118" s="54"/>
      <c r="M118" s="140"/>
      <c r="N118" s="54"/>
      <c r="O118" s="54"/>
      <c r="P118" s="54"/>
      <c r="Q118" s="54"/>
      <c r="R118" s="54"/>
      <c r="S118" s="54"/>
      <c r="T118" s="54"/>
      <c r="U118" s="54"/>
      <c r="W118" s="54"/>
      <c r="X118" s="71"/>
    </row>
    <row r="119" spans="4:24" ht="12.75">
      <c r="D119" s="73"/>
      <c r="K119" s="54"/>
      <c r="L119" s="54"/>
      <c r="M119" s="140"/>
      <c r="N119" s="54"/>
      <c r="O119" s="54"/>
      <c r="P119" s="54"/>
      <c r="Q119" s="54"/>
      <c r="R119" s="54"/>
      <c r="S119" s="54"/>
      <c r="T119" s="54"/>
      <c r="U119" s="54"/>
      <c r="W119" s="54"/>
      <c r="X119" s="71"/>
    </row>
    <row r="120" spans="4:24" ht="12.75">
      <c r="D120" s="73"/>
      <c r="K120" s="54"/>
      <c r="L120" s="54"/>
      <c r="M120" s="140"/>
      <c r="N120" s="54"/>
      <c r="O120" s="54"/>
      <c r="P120" s="54"/>
      <c r="Q120" s="54"/>
      <c r="R120" s="54"/>
      <c r="S120" s="54"/>
      <c r="T120" s="54"/>
      <c r="U120" s="54"/>
      <c r="W120" s="54"/>
      <c r="X120" s="71"/>
    </row>
    <row r="121" spans="4:24" ht="12.75">
      <c r="D121" s="73"/>
      <c r="K121" s="54"/>
      <c r="L121" s="54"/>
      <c r="M121" s="140"/>
      <c r="N121" s="54"/>
      <c r="O121" s="54"/>
      <c r="P121" s="54"/>
      <c r="Q121" s="54"/>
      <c r="R121" s="54"/>
      <c r="S121" s="54"/>
      <c r="T121" s="54"/>
      <c r="U121" s="54"/>
      <c r="W121" s="54"/>
      <c r="X121" s="71"/>
    </row>
    <row r="122" spans="4:24" ht="12.75">
      <c r="D122" s="73"/>
      <c r="K122" s="54"/>
      <c r="L122" s="54"/>
      <c r="M122" s="140"/>
      <c r="N122" s="54"/>
      <c r="O122" s="54"/>
      <c r="P122" s="54"/>
      <c r="Q122" s="54"/>
      <c r="R122" s="54"/>
      <c r="S122" s="54"/>
      <c r="T122" s="54"/>
      <c r="U122" s="54"/>
      <c r="W122" s="54"/>
      <c r="X122" s="71"/>
    </row>
    <row r="123" spans="4:24" ht="12.75">
      <c r="D123" s="73"/>
      <c r="K123" s="54"/>
      <c r="L123" s="54"/>
      <c r="M123" s="140"/>
      <c r="N123" s="54"/>
      <c r="O123" s="54"/>
      <c r="P123" s="54"/>
      <c r="Q123" s="54"/>
      <c r="R123" s="54"/>
      <c r="S123" s="54"/>
      <c r="T123" s="54"/>
      <c r="U123" s="54"/>
      <c r="W123" s="54"/>
      <c r="X123" s="71"/>
    </row>
    <row r="124" spans="4:24" ht="12.75">
      <c r="D124" s="73"/>
      <c r="K124" s="54"/>
      <c r="L124" s="54"/>
      <c r="M124" s="140"/>
      <c r="N124" s="54"/>
      <c r="O124" s="54"/>
      <c r="P124" s="54"/>
      <c r="Q124" s="54"/>
      <c r="R124" s="54"/>
      <c r="S124" s="54"/>
      <c r="T124" s="54"/>
      <c r="U124" s="54"/>
      <c r="W124" s="54"/>
      <c r="X124" s="71"/>
    </row>
    <row r="125" spans="4:24" ht="12.75">
      <c r="D125" s="73"/>
      <c r="K125" s="54"/>
      <c r="L125" s="54"/>
      <c r="M125" s="140"/>
      <c r="N125" s="54"/>
      <c r="O125" s="54"/>
      <c r="P125" s="54"/>
      <c r="Q125" s="54"/>
      <c r="R125" s="54"/>
      <c r="S125" s="54"/>
      <c r="T125" s="54"/>
      <c r="U125" s="54"/>
      <c r="W125" s="54"/>
      <c r="X125" s="71"/>
    </row>
    <row r="126" spans="4:24" ht="12.75">
      <c r="D126" s="73"/>
      <c r="K126" s="54"/>
      <c r="L126" s="54"/>
      <c r="M126" s="140"/>
      <c r="N126" s="54"/>
      <c r="O126" s="54"/>
      <c r="P126" s="54"/>
      <c r="Q126" s="54"/>
      <c r="R126" s="54"/>
      <c r="S126" s="54"/>
      <c r="T126" s="54"/>
      <c r="U126" s="54"/>
      <c r="W126" s="54"/>
      <c r="X126" s="71"/>
    </row>
    <row r="127" spans="4:24" ht="12.75">
      <c r="D127" s="73"/>
      <c r="K127" s="54"/>
      <c r="L127" s="54"/>
      <c r="M127" s="140"/>
      <c r="N127" s="54"/>
      <c r="O127" s="54"/>
      <c r="P127" s="54"/>
      <c r="Q127" s="54"/>
      <c r="R127" s="54"/>
      <c r="S127" s="54"/>
      <c r="T127" s="54"/>
      <c r="U127" s="54"/>
      <c r="W127" s="54"/>
      <c r="X127" s="71"/>
    </row>
    <row r="128" spans="4:24" ht="12.75">
      <c r="D128" s="73"/>
      <c r="K128" s="54"/>
      <c r="L128" s="54"/>
      <c r="M128" s="140"/>
      <c r="N128" s="54"/>
      <c r="O128" s="54"/>
      <c r="P128" s="54"/>
      <c r="Q128" s="54"/>
      <c r="R128" s="54"/>
      <c r="S128" s="54"/>
      <c r="T128" s="54"/>
      <c r="U128" s="54"/>
      <c r="W128" s="54"/>
      <c r="X128" s="71"/>
    </row>
    <row r="129" spans="4:24" ht="12.75">
      <c r="D129" s="73"/>
      <c r="K129" s="54"/>
      <c r="L129" s="54"/>
      <c r="M129" s="140"/>
      <c r="N129" s="54"/>
      <c r="O129" s="54"/>
      <c r="P129" s="54"/>
      <c r="Q129" s="54"/>
      <c r="R129" s="54"/>
      <c r="S129" s="54"/>
      <c r="T129" s="54"/>
      <c r="U129" s="54"/>
      <c r="W129" s="54"/>
      <c r="X129" s="71"/>
    </row>
    <row r="130" spans="4:24" ht="12.75">
      <c r="D130" s="73"/>
      <c r="K130" s="54"/>
      <c r="L130" s="54"/>
      <c r="M130" s="140"/>
      <c r="N130" s="54"/>
      <c r="O130" s="54"/>
      <c r="P130" s="54"/>
      <c r="Q130" s="54"/>
      <c r="R130" s="54"/>
      <c r="S130" s="54"/>
      <c r="T130" s="54"/>
      <c r="U130" s="54"/>
      <c r="W130" s="54"/>
      <c r="X130" s="71"/>
    </row>
    <row r="131" spans="4:24" ht="12.75">
      <c r="D131" s="73"/>
      <c r="K131" s="54"/>
      <c r="L131" s="54"/>
      <c r="M131" s="140"/>
      <c r="N131" s="54"/>
      <c r="O131" s="54"/>
      <c r="P131" s="54"/>
      <c r="Q131" s="54"/>
      <c r="R131" s="54"/>
      <c r="S131" s="54"/>
      <c r="T131" s="54"/>
      <c r="U131" s="54"/>
      <c r="W131" s="54"/>
      <c r="X131" s="71"/>
    </row>
    <row r="132" spans="4:24" ht="12.75">
      <c r="D132" s="73"/>
      <c r="K132" s="54"/>
      <c r="L132" s="54"/>
      <c r="M132" s="140"/>
      <c r="N132" s="54"/>
      <c r="O132" s="54"/>
      <c r="P132" s="54"/>
      <c r="Q132" s="54"/>
      <c r="R132" s="54"/>
      <c r="S132" s="54"/>
      <c r="T132" s="54"/>
      <c r="U132" s="54"/>
      <c r="W132" s="54"/>
      <c r="X132" s="71"/>
    </row>
    <row r="133" spans="4:24" ht="12.75">
      <c r="D133" s="73"/>
      <c r="K133" s="54"/>
      <c r="L133" s="54"/>
      <c r="M133" s="140"/>
      <c r="N133" s="54"/>
      <c r="O133" s="54"/>
      <c r="P133" s="54"/>
      <c r="Q133" s="54"/>
      <c r="R133" s="54"/>
      <c r="S133" s="54"/>
      <c r="T133" s="54"/>
      <c r="U133" s="54"/>
      <c r="W133" s="54"/>
      <c r="X133" s="71"/>
    </row>
    <row r="134" spans="4:24" ht="12.75">
      <c r="D134" s="73"/>
      <c r="K134" s="54"/>
      <c r="L134" s="54"/>
      <c r="M134" s="140"/>
      <c r="N134" s="54"/>
      <c r="O134" s="54"/>
      <c r="P134" s="54"/>
      <c r="Q134" s="54"/>
      <c r="R134" s="54"/>
      <c r="S134" s="54"/>
      <c r="T134" s="54"/>
      <c r="U134" s="54"/>
      <c r="W134" s="54"/>
      <c r="X134" s="71"/>
    </row>
    <row r="135" spans="4:24" ht="12.75">
      <c r="D135" s="73"/>
      <c r="K135" s="54"/>
      <c r="L135" s="54"/>
      <c r="M135" s="140"/>
      <c r="N135" s="54"/>
      <c r="O135" s="54"/>
      <c r="P135" s="54"/>
      <c r="Q135" s="54"/>
      <c r="R135" s="54"/>
      <c r="S135" s="54"/>
      <c r="T135" s="54"/>
      <c r="U135" s="54"/>
      <c r="W135" s="54"/>
      <c r="X135" s="71"/>
    </row>
    <row r="136" spans="4:24" ht="12.75">
      <c r="D136" s="73"/>
      <c r="K136" s="54"/>
      <c r="L136" s="54"/>
      <c r="M136" s="140"/>
      <c r="N136" s="54"/>
      <c r="O136" s="54"/>
      <c r="P136" s="54"/>
      <c r="Q136" s="54"/>
      <c r="R136" s="54"/>
      <c r="S136" s="54"/>
      <c r="T136" s="54"/>
      <c r="U136" s="54"/>
      <c r="W136" s="54"/>
      <c r="X136" s="71"/>
    </row>
    <row r="137" spans="4:24" ht="12.75">
      <c r="D137" s="73"/>
      <c r="K137" s="54"/>
      <c r="L137" s="54"/>
      <c r="M137" s="140"/>
      <c r="N137" s="54"/>
      <c r="O137" s="54"/>
      <c r="P137" s="54"/>
      <c r="Q137" s="54"/>
      <c r="R137" s="54"/>
      <c r="S137" s="54"/>
      <c r="T137" s="54"/>
      <c r="U137" s="54"/>
      <c r="W137" s="54"/>
      <c r="X137" s="71"/>
    </row>
    <row r="138" spans="4:24" ht="12.75">
      <c r="D138" s="73"/>
      <c r="K138" s="54"/>
      <c r="L138" s="54"/>
      <c r="M138" s="140"/>
      <c r="N138" s="54"/>
      <c r="O138" s="54"/>
      <c r="P138" s="54"/>
      <c r="Q138" s="54"/>
      <c r="R138" s="54"/>
      <c r="S138" s="54"/>
      <c r="T138" s="54"/>
      <c r="U138" s="54"/>
      <c r="W138" s="54"/>
      <c r="X138" s="71"/>
    </row>
    <row r="139" spans="4:24" ht="12.75">
      <c r="D139" s="73"/>
      <c r="K139" s="54"/>
      <c r="L139" s="54"/>
      <c r="M139" s="140"/>
      <c r="N139" s="54"/>
      <c r="O139" s="54"/>
      <c r="P139" s="54"/>
      <c r="Q139" s="54"/>
      <c r="R139" s="54"/>
      <c r="S139" s="54"/>
      <c r="T139" s="54"/>
      <c r="U139" s="54"/>
      <c r="W139" s="54"/>
      <c r="X139" s="71"/>
    </row>
    <row r="140" spans="4:24" ht="12.75">
      <c r="D140" s="73"/>
      <c r="K140" s="54"/>
      <c r="L140" s="54"/>
      <c r="M140" s="140"/>
      <c r="N140" s="54"/>
      <c r="O140" s="54"/>
      <c r="P140" s="54"/>
      <c r="Q140" s="54"/>
      <c r="R140" s="54"/>
      <c r="S140" s="54"/>
      <c r="T140" s="54"/>
      <c r="U140" s="54"/>
      <c r="W140" s="54"/>
      <c r="X140" s="71"/>
    </row>
    <row r="141" spans="4:24" ht="12.75">
      <c r="D141" s="73"/>
      <c r="K141" s="54"/>
      <c r="L141" s="54"/>
      <c r="M141" s="140"/>
      <c r="N141" s="54"/>
      <c r="O141" s="54"/>
      <c r="P141" s="54"/>
      <c r="Q141" s="54"/>
      <c r="R141" s="54"/>
      <c r="S141" s="54"/>
      <c r="T141" s="54"/>
      <c r="U141" s="54"/>
      <c r="W141" s="54"/>
      <c r="X141" s="71"/>
    </row>
    <row r="142" spans="4:24" ht="12.75">
      <c r="D142" s="73"/>
      <c r="K142" s="54"/>
      <c r="L142" s="54"/>
      <c r="M142" s="140"/>
      <c r="N142" s="54"/>
      <c r="O142" s="54"/>
      <c r="P142" s="54"/>
      <c r="Q142" s="54"/>
      <c r="R142" s="54"/>
      <c r="S142" s="54"/>
      <c r="T142" s="54"/>
      <c r="U142" s="54"/>
      <c r="W142" s="54"/>
      <c r="X142" s="71"/>
    </row>
    <row r="143" spans="4:24" ht="12.75">
      <c r="D143" s="73"/>
      <c r="K143" s="54"/>
      <c r="L143" s="54"/>
      <c r="M143" s="140"/>
      <c r="N143" s="54"/>
      <c r="O143" s="54"/>
      <c r="P143" s="54"/>
      <c r="Q143" s="54"/>
      <c r="R143" s="54"/>
      <c r="S143" s="54"/>
      <c r="T143" s="54"/>
      <c r="U143" s="54"/>
      <c r="W143" s="54"/>
      <c r="X143" s="71"/>
    </row>
    <row r="144" spans="4:24" ht="12.75">
      <c r="D144" s="73"/>
      <c r="K144" s="54"/>
      <c r="L144" s="54"/>
      <c r="M144" s="140"/>
      <c r="N144" s="54"/>
      <c r="O144" s="54"/>
      <c r="P144" s="54"/>
      <c r="Q144" s="54"/>
      <c r="R144" s="54"/>
      <c r="S144" s="54"/>
      <c r="T144" s="54"/>
      <c r="U144" s="54"/>
      <c r="W144" s="54"/>
      <c r="X144" s="71"/>
    </row>
    <row r="145" spans="4:24" ht="12.75">
      <c r="D145" s="73"/>
      <c r="K145" s="54"/>
      <c r="L145" s="54"/>
      <c r="M145" s="140"/>
      <c r="N145" s="54"/>
      <c r="O145" s="54"/>
      <c r="P145" s="54"/>
      <c r="Q145" s="54"/>
      <c r="R145" s="54"/>
      <c r="S145" s="54"/>
      <c r="T145" s="54"/>
      <c r="U145" s="54"/>
      <c r="W145" s="54"/>
      <c r="X145" s="71"/>
    </row>
    <row r="146" spans="4:24" ht="12.75">
      <c r="D146" s="73"/>
      <c r="K146" s="54"/>
      <c r="L146" s="54"/>
      <c r="M146" s="140"/>
      <c r="N146" s="54"/>
      <c r="O146" s="54"/>
      <c r="P146" s="54"/>
      <c r="Q146" s="54"/>
      <c r="R146" s="54"/>
      <c r="S146" s="54"/>
      <c r="T146" s="54"/>
      <c r="U146" s="54"/>
      <c r="W146" s="54"/>
      <c r="X146" s="71"/>
    </row>
    <row r="147" spans="4:24" ht="12.75">
      <c r="D147" s="73"/>
      <c r="K147" s="54"/>
      <c r="L147" s="54"/>
      <c r="M147" s="140"/>
      <c r="N147" s="54"/>
      <c r="O147" s="54"/>
      <c r="P147" s="54"/>
      <c r="Q147" s="54"/>
      <c r="R147" s="54"/>
      <c r="S147" s="54"/>
      <c r="T147" s="54"/>
      <c r="U147" s="54"/>
      <c r="W147" s="54"/>
      <c r="X147" s="71"/>
    </row>
    <row r="148" spans="4:24" ht="12.75">
      <c r="D148" s="73"/>
      <c r="K148" s="54"/>
      <c r="L148" s="54"/>
      <c r="M148" s="140"/>
      <c r="N148" s="54"/>
      <c r="O148" s="54"/>
      <c r="P148" s="54"/>
      <c r="Q148" s="54"/>
      <c r="R148" s="54"/>
      <c r="S148" s="54"/>
      <c r="T148" s="54"/>
      <c r="U148" s="54"/>
      <c r="W148" s="54"/>
      <c r="X148" s="71"/>
    </row>
    <row r="149" spans="4:24" ht="12.75">
      <c r="D149" s="73"/>
      <c r="K149" s="54"/>
      <c r="L149" s="54"/>
      <c r="M149" s="140"/>
      <c r="N149" s="54"/>
      <c r="O149" s="54"/>
      <c r="P149" s="54"/>
      <c r="Q149" s="54"/>
      <c r="R149" s="54"/>
      <c r="S149" s="54"/>
      <c r="T149" s="54"/>
      <c r="U149" s="54"/>
      <c r="W149" s="54"/>
      <c r="X149" s="71"/>
    </row>
    <row r="150" spans="4:24" ht="12.75">
      <c r="D150" s="73"/>
      <c r="K150" s="54"/>
      <c r="L150" s="54"/>
      <c r="M150" s="140"/>
      <c r="N150" s="54"/>
      <c r="O150" s="54"/>
      <c r="P150" s="54"/>
      <c r="Q150" s="54"/>
      <c r="R150" s="54"/>
      <c r="S150" s="54"/>
      <c r="T150" s="54"/>
      <c r="U150" s="54"/>
      <c r="W150" s="54"/>
      <c r="X150" s="71"/>
    </row>
    <row r="151" spans="4:24" ht="12.75">
      <c r="D151" s="73"/>
      <c r="K151" s="54"/>
      <c r="L151" s="54"/>
      <c r="M151" s="140"/>
      <c r="N151" s="54"/>
      <c r="O151" s="54"/>
      <c r="P151" s="54"/>
      <c r="Q151" s="54"/>
      <c r="R151" s="54"/>
      <c r="S151" s="54"/>
      <c r="T151" s="54"/>
      <c r="U151" s="54"/>
      <c r="W151" s="54"/>
      <c r="X151" s="71"/>
    </row>
    <row r="152" spans="4:24" ht="12.75">
      <c r="D152" s="73"/>
      <c r="K152" s="54"/>
      <c r="L152" s="54"/>
      <c r="M152" s="140"/>
      <c r="N152" s="54"/>
      <c r="O152" s="54"/>
      <c r="P152" s="54"/>
      <c r="Q152" s="54"/>
      <c r="R152" s="54"/>
      <c r="S152" s="54"/>
      <c r="T152" s="54"/>
      <c r="U152" s="54"/>
      <c r="W152" s="54"/>
      <c r="X152" s="71"/>
    </row>
    <row r="153" spans="4:24" ht="12.75">
      <c r="D153" s="73"/>
      <c r="K153" s="54"/>
      <c r="L153" s="54"/>
      <c r="M153" s="140"/>
      <c r="N153" s="54"/>
      <c r="O153" s="54"/>
      <c r="P153" s="54"/>
      <c r="Q153" s="54"/>
      <c r="R153" s="54"/>
      <c r="S153" s="54"/>
      <c r="T153" s="54"/>
      <c r="U153" s="54"/>
      <c r="W153" s="54"/>
      <c r="X153" s="71"/>
    </row>
    <row r="154" spans="4:24" ht="12.75">
      <c r="D154" s="73"/>
      <c r="K154" s="54"/>
      <c r="L154" s="54"/>
      <c r="M154" s="140"/>
      <c r="N154" s="54"/>
      <c r="O154" s="54"/>
      <c r="P154" s="54"/>
      <c r="Q154" s="54"/>
      <c r="R154" s="54"/>
      <c r="S154" s="54"/>
      <c r="T154" s="54"/>
      <c r="U154" s="54"/>
      <c r="W154" s="54"/>
      <c r="X154" s="71"/>
    </row>
    <row r="155" spans="4:24" ht="12.75">
      <c r="D155" s="73"/>
      <c r="K155" s="54"/>
      <c r="L155" s="54"/>
      <c r="M155" s="140"/>
      <c r="N155" s="54"/>
      <c r="O155" s="54"/>
      <c r="P155" s="54"/>
      <c r="Q155" s="54"/>
      <c r="R155" s="54"/>
      <c r="S155" s="54"/>
      <c r="T155" s="54"/>
      <c r="U155" s="54"/>
      <c r="W155" s="54"/>
      <c r="X155" s="71"/>
    </row>
    <row r="156" spans="4:24" ht="12.75">
      <c r="D156" s="73"/>
      <c r="K156" s="54"/>
      <c r="L156" s="54"/>
      <c r="M156" s="140"/>
      <c r="N156" s="54"/>
      <c r="O156" s="54"/>
      <c r="P156" s="54"/>
      <c r="Q156" s="54"/>
      <c r="R156" s="54"/>
      <c r="S156" s="54"/>
      <c r="T156" s="54"/>
      <c r="U156" s="54"/>
      <c r="W156" s="54"/>
      <c r="X156" s="71"/>
    </row>
    <row r="157" spans="4:24" ht="12.75">
      <c r="D157" s="73"/>
      <c r="K157" s="54"/>
      <c r="L157" s="54"/>
      <c r="M157" s="140"/>
      <c r="N157" s="54"/>
      <c r="O157" s="54"/>
      <c r="P157" s="54"/>
      <c r="Q157" s="54"/>
      <c r="R157" s="54"/>
      <c r="S157" s="54"/>
      <c r="T157" s="54"/>
      <c r="U157" s="54"/>
      <c r="W157" s="54"/>
      <c r="X157" s="71"/>
    </row>
    <row r="158" spans="4:24" ht="12.75">
      <c r="D158" s="73"/>
      <c r="K158" s="54"/>
      <c r="L158" s="54"/>
      <c r="M158" s="140"/>
      <c r="N158" s="54"/>
      <c r="O158" s="54"/>
      <c r="P158" s="54"/>
      <c r="Q158" s="54"/>
      <c r="R158" s="54"/>
      <c r="S158" s="54"/>
      <c r="T158" s="54"/>
      <c r="U158" s="54"/>
      <c r="W158" s="54"/>
      <c r="X158" s="71"/>
    </row>
    <row r="159" spans="4:24" ht="12.75">
      <c r="D159" s="73"/>
      <c r="K159" s="54"/>
      <c r="L159" s="54"/>
      <c r="M159" s="140"/>
      <c r="N159" s="54"/>
      <c r="O159" s="54"/>
      <c r="P159" s="54"/>
      <c r="Q159" s="54"/>
      <c r="R159" s="54"/>
      <c r="S159" s="54"/>
      <c r="T159" s="54"/>
      <c r="U159" s="54"/>
      <c r="W159" s="54"/>
      <c r="X159" s="71"/>
    </row>
    <row r="160" spans="4:24" ht="12.75">
      <c r="D160" s="73"/>
      <c r="K160" s="54"/>
      <c r="L160" s="54"/>
      <c r="M160" s="140"/>
      <c r="N160" s="54"/>
      <c r="O160" s="54"/>
      <c r="P160" s="54"/>
      <c r="Q160" s="54"/>
      <c r="R160" s="54"/>
      <c r="S160" s="54"/>
      <c r="T160" s="54"/>
      <c r="U160" s="54"/>
      <c r="W160" s="54"/>
      <c r="X160" s="71"/>
    </row>
    <row r="161" spans="4:24" ht="12.75">
      <c r="D161" s="73"/>
      <c r="K161" s="54"/>
      <c r="L161" s="54"/>
      <c r="M161" s="140"/>
      <c r="N161" s="54"/>
      <c r="O161" s="54"/>
      <c r="P161" s="54"/>
      <c r="Q161" s="54"/>
      <c r="R161" s="54"/>
      <c r="S161" s="54"/>
      <c r="T161" s="54"/>
      <c r="U161" s="54"/>
      <c r="W161" s="54"/>
      <c r="X161" s="71"/>
    </row>
    <row r="162" spans="4:24" ht="12.75">
      <c r="D162" s="73"/>
      <c r="K162" s="54"/>
      <c r="L162" s="54"/>
      <c r="M162" s="140"/>
      <c r="N162" s="54"/>
      <c r="O162" s="54"/>
      <c r="P162" s="54"/>
      <c r="Q162" s="54"/>
      <c r="R162" s="54"/>
      <c r="S162" s="54"/>
      <c r="T162" s="54"/>
      <c r="U162" s="54"/>
      <c r="W162" s="54"/>
      <c r="X162" s="71"/>
    </row>
    <row r="163" spans="4:24" ht="12.75">
      <c r="D163" s="73"/>
      <c r="K163" s="54"/>
      <c r="L163" s="54"/>
      <c r="M163" s="140"/>
      <c r="N163" s="54"/>
      <c r="O163" s="54"/>
      <c r="P163" s="54"/>
      <c r="Q163" s="54"/>
      <c r="R163" s="54"/>
      <c r="S163" s="54"/>
      <c r="T163" s="54"/>
      <c r="U163" s="54"/>
      <c r="W163" s="54"/>
      <c r="X163" s="71"/>
    </row>
    <row r="164" spans="4:24" ht="12.75">
      <c r="D164" s="73"/>
      <c r="K164" s="54"/>
      <c r="L164" s="54"/>
      <c r="M164" s="140"/>
      <c r="N164" s="54"/>
      <c r="O164" s="54"/>
      <c r="P164" s="54"/>
      <c r="Q164" s="54"/>
      <c r="R164" s="54"/>
      <c r="S164" s="54"/>
      <c r="T164" s="54"/>
      <c r="U164" s="54"/>
      <c r="W164" s="54"/>
      <c r="X164" s="71"/>
    </row>
    <row r="165" spans="4:24" ht="12.75">
      <c r="D165" s="73"/>
      <c r="K165" s="54"/>
      <c r="L165" s="54"/>
      <c r="M165" s="140"/>
      <c r="N165" s="54"/>
      <c r="O165" s="54"/>
      <c r="P165" s="54"/>
      <c r="Q165" s="54"/>
      <c r="R165" s="54"/>
      <c r="S165" s="54"/>
      <c r="T165" s="54"/>
      <c r="U165" s="54"/>
      <c r="W165" s="54"/>
      <c r="X165" s="71"/>
    </row>
    <row r="166" spans="4:24" ht="12.75">
      <c r="D166" s="73"/>
      <c r="K166" s="54"/>
      <c r="L166" s="54"/>
      <c r="M166" s="140"/>
      <c r="N166" s="54"/>
      <c r="O166" s="54"/>
      <c r="P166" s="54"/>
      <c r="Q166" s="54"/>
      <c r="R166" s="54"/>
      <c r="S166" s="54"/>
      <c r="T166" s="54"/>
      <c r="U166" s="54"/>
      <c r="W166" s="54"/>
      <c r="X166" s="71"/>
    </row>
    <row r="167" spans="4:24" ht="12.75">
      <c r="D167" s="73"/>
      <c r="K167" s="54"/>
      <c r="L167" s="54"/>
      <c r="M167" s="140"/>
      <c r="N167" s="54"/>
      <c r="O167" s="54"/>
      <c r="P167" s="54"/>
      <c r="Q167" s="54"/>
      <c r="R167" s="54"/>
      <c r="S167" s="54"/>
      <c r="T167" s="54"/>
      <c r="U167" s="54"/>
      <c r="W167" s="54"/>
      <c r="X167" s="71"/>
    </row>
    <row r="168" spans="4:24" ht="12.75">
      <c r="D168" s="73"/>
      <c r="K168" s="54"/>
      <c r="L168" s="54"/>
      <c r="M168" s="140"/>
      <c r="N168" s="54"/>
      <c r="O168" s="54"/>
      <c r="P168" s="54"/>
      <c r="Q168" s="54"/>
      <c r="R168" s="54"/>
      <c r="S168" s="54"/>
      <c r="T168" s="54"/>
      <c r="U168" s="54"/>
      <c r="W168" s="54"/>
      <c r="X168" s="71"/>
    </row>
    <row r="169" spans="4:24" ht="12.75">
      <c r="D169" s="73"/>
      <c r="K169" s="54"/>
      <c r="L169" s="54"/>
      <c r="M169" s="140"/>
      <c r="N169" s="54"/>
      <c r="O169" s="54"/>
      <c r="P169" s="54"/>
      <c r="Q169" s="54"/>
      <c r="R169" s="54"/>
      <c r="S169" s="54"/>
      <c r="T169" s="54"/>
      <c r="U169" s="54"/>
      <c r="W169" s="54"/>
      <c r="X169" s="71"/>
    </row>
    <row r="170" spans="4:24" ht="12.75">
      <c r="D170" s="73"/>
      <c r="K170" s="54"/>
      <c r="L170" s="54"/>
      <c r="M170" s="140"/>
      <c r="N170" s="54"/>
      <c r="O170" s="54"/>
      <c r="P170" s="54"/>
      <c r="Q170" s="54"/>
      <c r="R170" s="54"/>
      <c r="S170" s="54"/>
      <c r="T170" s="54"/>
      <c r="U170" s="54"/>
      <c r="W170" s="54"/>
      <c r="X170" s="71"/>
    </row>
    <row r="171" spans="4:24" ht="12.75">
      <c r="D171" s="73"/>
      <c r="K171" s="54"/>
      <c r="L171" s="54"/>
      <c r="M171" s="140"/>
      <c r="N171" s="54"/>
      <c r="O171" s="54"/>
      <c r="P171" s="54"/>
      <c r="Q171" s="54"/>
      <c r="R171" s="54"/>
      <c r="S171" s="54"/>
      <c r="T171" s="54"/>
      <c r="U171" s="54"/>
      <c r="W171" s="54"/>
      <c r="X171" s="71"/>
    </row>
    <row r="172" spans="4:24" ht="12.75">
      <c r="D172" s="73"/>
      <c r="K172" s="54"/>
      <c r="L172" s="54"/>
      <c r="M172" s="140"/>
      <c r="N172" s="54"/>
      <c r="O172" s="54"/>
      <c r="P172" s="54"/>
      <c r="Q172" s="54"/>
      <c r="R172" s="54"/>
      <c r="S172" s="54"/>
      <c r="T172" s="54"/>
      <c r="U172" s="54"/>
      <c r="W172" s="54"/>
      <c r="X172" s="71"/>
    </row>
    <row r="173" spans="4:24" ht="12.75">
      <c r="D173" s="73"/>
      <c r="K173" s="54"/>
      <c r="L173" s="54"/>
      <c r="M173" s="140"/>
      <c r="N173" s="54"/>
      <c r="O173" s="54"/>
      <c r="P173" s="54"/>
      <c r="Q173" s="54"/>
      <c r="R173" s="54"/>
      <c r="S173" s="54"/>
      <c r="T173" s="54"/>
      <c r="U173" s="54"/>
      <c r="W173" s="54"/>
      <c r="X173" s="71"/>
    </row>
    <row r="174" spans="4:24" ht="12.75">
      <c r="D174" s="73"/>
      <c r="K174" s="54"/>
      <c r="L174" s="54"/>
      <c r="M174" s="140"/>
      <c r="N174" s="54"/>
      <c r="O174" s="54"/>
      <c r="P174" s="54"/>
      <c r="Q174" s="54"/>
      <c r="R174" s="54"/>
      <c r="S174" s="54"/>
      <c r="T174" s="54"/>
      <c r="U174" s="54"/>
      <c r="W174" s="54"/>
      <c r="X174" s="71"/>
    </row>
    <row r="175" spans="4:24" ht="12.75">
      <c r="D175" s="73"/>
      <c r="K175" s="54"/>
      <c r="L175" s="54"/>
      <c r="M175" s="140"/>
      <c r="N175" s="54"/>
      <c r="O175" s="54"/>
      <c r="P175" s="54"/>
      <c r="Q175" s="54"/>
      <c r="R175" s="54"/>
      <c r="S175" s="54"/>
      <c r="T175" s="54"/>
      <c r="U175" s="54"/>
      <c r="W175" s="54"/>
      <c r="X175" s="71"/>
    </row>
    <row r="176" spans="4:24" ht="12.75">
      <c r="D176" s="73"/>
      <c r="K176" s="54"/>
      <c r="L176" s="54"/>
      <c r="M176" s="140"/>
      <c r="N176" s="54"/>
      <c r="O176" s="54"/>
      <c r="P176" s="54"/>
      <c r="Q176" s="54"/>
      <c r="R176" s="54"/>
      <c r="S176" s="54"/>
      <c r="T176" s="54"/>
      <c r="U176" s="54"/>
      <c r="W176" s="54"/>
      <c r="X176" s="71"/>
    </row>
    <row r="177" spans="4:24" ht="12.75">
      <c r="D177" s="73"/>
      <c r="K177" s="54"/>
      <c r="L177" s="54"/>
      <c r="M177" s="140"/>
      <c r="N177" s="54"/>
      <c r="O177" s="54"/>
      <c r="P177" s="54"/>
      <c r="Q177" s="54"/>
      <c r="R177" s="54"/>
      <c r="S177" s="54"/>
      <c r="T177" s="54"/>
      <c r="U177" s="54"/>
      <c r="W177" s="54"/>
      <c r="X177" s="71"/>
    </row>
    <row r="178" spans="4:24" ht="12.75">
      <c r="D178" s="73"/>
      <c r="K178" s="54"/>
      <c r="L178" s="54"/>
      <c r="M178" s="140"/>
      <c r="N178" s="54"/>
      <c r="O178" s="54"/>
      <c r="P178" s="54"/>
      <c r="Q178" s="54"/>
      <c r="R178" s="54"/>
      <c r="S178" s="54"/>
      <c r="T178" s="54"/>
      <c r="U178" s="54"/>
      <c r="W178" s="54"/>
      <c r="X178" s="71"/>
    </row>
    <row r="179" spans="4:24" ht="12.75">
      <c r="D179" s="73"/>
      <c r="K179" s="54"/>
      <c r="L179" s="54"/>
      <c r="M179" s="140"/>
      <c r="N179" s="54"/>
      <c r="O179" s="54"/>
      <c r="P179" s="54"/>
      <c r="Q179" s="54"/>
      <c r="R179" s="54"/>
      <c r="S179" s="54"/>
      <c r="T179" s="54"/>
      <c r="U179" s="54"/>
      <c r="W179" s="54"/>
      <c r="X179" s="71"/>
    </row>
    <row r="180" spans="4:24" ht="12.75">
      <c r="D180" s="73"/>
      <c r="K180" s="54"/>
      <c r="L180" s="54"/>
      <c r="M180" s="140"/>
      <c r="N180" s="54"/>
      <c r="O180" s="54"/>
      <c r="P180" s="54"/>
      <c r="Q180" s="54"/>
      <c r="R180" s="54"/>
      <c r="S180" s="54"/>
      <c r="T180" s="54"/>
      <c r="U180" s="54"/>
      <c r="W180" s="54"/>
      <c r="X180" s="71"/>
    </row>
    <row r="181" spans="4:24" ht="12.75">
      <c r="D181" s="73"/>
      <c r="K181" s="54"/>
      <c r="L181" s="54"/>
      <c r="M181" s="140"/>
      <c r="N181" s="54"/>
      <c r="O181" s="54"/>
      <c r="P181" s="54"/>
      <c r="Q181" s="54"/>
      <c r="R181" s="54"/>
      <c r="S181" s="54"/>
      <c r="T181" s="54"/>
      <c r="U181" s="54"/>
      <c r="W181" s="54"/>
      <c r="X181" s="71"/>
    </row>
    <row r="182" spans="4:24" ht="12.75">
      <c r="D182" s="73"/>
      <c r="K182" s="54"/>
      <c r="L182" s="54"/>
      <c r="M182" s="140"/>
      <c r="N182" s="54"/>
      <c r="O182" s="54"/>
      <c r="P182" s="54"/>
      <c r="Q182" s="54"/>
      <c r="R182" s="54"/>
      <c r="S182" s="54"/>
      <c r="T182" s="54"/>
      <c r="U182" s="54"/>
      <c r="W182" s="54"/>
      <c r="X182" s="71"/>
    </row>
    <row r="183" spans="4:24" ht="12.75">
      <c r="D183" s="73"/>
      <c r="K183" s="54"/>
      <c r="L183" s="54"/>
      <c r="M183" s="140"/>
      <c r="N183" s="54"/>
      <c r="O183" s="54"/>
      <c r="P183" s="54"/>
      <c r="Q183" s="54"/>
      <c r="R183" s="54"/>
      <c r="S183" s="54"/>
      <c r="T183" s="54"/>
      <c r="U183" s="54"/>
      <c r="W183" s="54"/>
      <c r="X183" s="71"/>
    </row>
    <row r="184" spans="4:24" ht="12.75">
      <c r="D184" s="73"/>
      <c r="K184" s="54"/>
      <c r="L184" s="54"/>
      <c r="M184" s="140"/>
      <c r="N184" s="54"/>
      <c r="O184" s="54"/>
      <c r="P184" s="54"/>
      <c r="Q184" s="54"/>
      <c r="R184" s="54"/>
      <c r="S184" s="54"/>
      <c r="T184" s="54"/>
      <c r="U184" s="54"/>
      <c r="W184" s="54"/>
      <c r="X184" s="71"/>
    </row>
    <row r="185" spans="4:24" ht="12.75">
      <c r="D185" s="73"/>
      <c r="K185" s="54"/>
      <c r="L185" s="54"/>
      <c r="M185" s="140"/>
      <c r="N185" s="54"/>
      <c r="O185" s="54"/>
      <c r="P185" s="54"/>
      <c r="Q185" s="54"/>
      <c r="R185" s="54"/>
      <c r="S185" s="54"/>
      <c r="T185" s="54"/>
      <c r="U185" s="54"/>
      <c r="W185" s="54"/>
      <c r="X185" s="71"/>
    </row>
    <row r="186" spans="4:24" ht="12.75">
      <c r="D186" s="73"/>
      <c r="K186" s="54"/>
      <c r="L186" s="54"/>
      <c r="M186" s="140"/>
      <c r="N186" s="54"/>
      <c r="O186" s="54"/>
      <c r="P186" s="54"/>
      <c r="Q186" s="54"/>
      <c r="R186" s="54"/>
      <c r="S186" s="54"/>
      <c r="T186" s="54"/>
      <c r="U186" s="54"/>
      <c r="W186" s="54"/>
      <c r="X186" s="71"/>
    </row>
    <row r="187" spans="4:24" ht="12.75">
      <c r="D187" s="73"/>
      <c r="K187" s="54"/>
      <c r="L187" s="54"/>
      <c r="M187" s="140"/>
      <c r="N187" s="54"/>
      <c r="O187" s="54"/>
      <c r="P187" s="54"/>
      <c r="Q187" s="54"/>
      <c r="R187" s="54"/>
      <c r="S187" s="54"/>
      <c r="T187" s="54"/>
      <c r="U187" s="54"/>
      <c r="W187" s="54"/>
      <c r="X187" s="71"/>
    </row>
    <row r="188" spans="4:24" ht="12.75">
      <c r="D188" s="73"/>
      <c r="K188" s="54"/>
      <c r="L188" s="54"/>
      <c r="M188" s="140"/>
      <c r="N188" s="54"/>
      <c r="O188" s="54"/>
      <c r="P188" s="54"/>
      <c r="Q188" s="54"/>
      <c r="R188" s="54"/>
      <c r="S188" s="54"/>
      <c r="T188" s="54"/>
      <c r="U188" s="54"/>
      <c r="W188" s="54"/>
      <c r="X188" s="71"/>
    </row>
    <row r="189" spans="4:24" ht="12.75">
      <c r="D189" s="73"/>
      <c r="K189" s="54"/>
      <c r="L189" s="54"/>
      <c r="M189" s="140"/>
      <c r="N189" s="54"/>
      <c r="O189" s="54"/>
      <c r="P189" s="54"/>
      <c r="Q189" s="54"/>
      <c r="R189" s="54"/>
      <c r="S189" s="54"/>
      <c r="T189" s="54"/>
      <c r="U189" s="54"/>
      <c r="W189" s="54"/>
      <c r="X189" s="71"/>
    </row>
    <row r="190" spans="4:24" ht="12.75">
      <c r="D190" s="73"/>
      <c r="K190" s="54"/>
      <c r="L190" s="54"/>
      <c r="M190" s="140"/>
      <c r="N190" s="54"/>
      <c r="O190" s="54"/>
      <c r="P190" s="54"/>
      <c r="Q190" s="54"/>
      <c r="R190" s="54"/>
      <c r="S190" s="54"/>
      <c r="T190" s="54"/>
      <c r="U190" s="54"/>
      <c r="W190" s="54"/>
      <c r="X190" s="71"/>
    </row>
    <row r="191" spans="4:24" ht="12.75">
      <c r="D191" s="73"/>
      <c r="K191" s="54"/>
      <c r="L191" s="54"/>
      <c r="M191" s="140"/>
      <c r="N191" s="54"/>
      <c r="O191" s="54"/>
      <c r="P191" s="54"/>
      <c r="Q191" s="54"/>
      <c r="R191" s="54"/>
      <c r="S191" s="54"/>
      <c r="T191" s="54"/>
      <c r="U191" s="54"/>
      <c r="W191" s="54"/>
      <c r="X191" s="71"/>
    </row>
    <row r="192" spans="4:24" ht="12.75">
      <c r="D192" s="73"/>
      <c r="K192" s="54"/>
      <c r="L192" s="54"/>
      <c r="M192" s="140"/>
      <c r="N192" s="54"/>
      <c r="O192" s="54"/>
      <c r="P192" s="54"/>
      <c r="Q192" s="54"/>
      <c r="R192" s="54"/>
      <c r="S192" s="54"/>
      <c r="T192" s="54"/>
      <c r="U192" s="54"/>
      <c r="W192" s="54"/>
      <c r="X192" s="71"/>
    </row>
    <row r="193" spans="4:24" ht="12.75">
      <c r="D193" s="73"/>
      <c r="K193" s="54"/>
      <c r="L193" s="54"/>
      <c r="M193" s="140"/>
      <c r="N193" s="54"/>
      <c r="O193" s="54"/>
      <c r="P193" s="54"/>
      <c r="Q193" s="54"/>
      <c r="R193" s="54"/>
      <c r="S193" s="54"/>
      <c r="T193" s="54"/>
      <c r="U193" s="54"/>
      <c r="W193" s="54"/>
      <c r="X193" s="71"/>
    </row>
    <row r="194" spans="4:24" ht="12.75">
      <c r="D194" s="73"/>
      <c r="K194" s="54"/>
      <c r="L194" s="54"/>
      <c r="M194" s="140"/>
      <c r="N194" s="54"/>
      <c r="O194" s="54"/>
      <c r="P194" s="54"/>
      <c r="Q194" s="54"/>
      <c r="R194" s="54"/>
      <c r="S194" s="54"/>
      <c r="T194" s="54"/>
      <c r="U194" s="54"/>
      <c r="W194" s="54"/>
      <c r="X194" s="71"/>
    </row>
    <row r="195" spans="4:24" ht="12.75">
      <c r="D195" s="73"/>
      <c r="K195" s="54"/>
      <c r="L195" s="54"/>
      <c r="M195" s="140"/>
      <c r="N195" s="54"/>
      <c r="O195" s="54"/>
      <c r="P195" s="54"/>
      <c r="Q195" s="54"/>
      <c r="R195" s="54"/>
      <c r="S195" s="54"/>
      <c r="T195" s="54"/>
      <c r="U195" s="54"/>
      <c r="W195" s="54"/>
      <c r="X195" s="71"/>
    </row>
    <row r="196" spans="4:24" ht="12.75">
      <c r="D196" s="73"/>
      <c r="K196" s="54"/>
      <c r="L196" s="54"/>
      <c r="M196" s="140"/>
      <c r="N196" s="54"/>
      <c r="O196" s="54"/>
      <c r="P196" s="54"/>
      <c r="Q196" s="54"/>
      <c r="R196" s="54"/>
      <c r="S196" s="54"/>
      <c r="T196" s="54"/>
      <c r="U196" s="54"/>
      <c r="W196" s="54"/>
      <c r="X196" s="71"/>
    </row>
    <row r="197" spans="4:24" ht="12.75">
      <c r="D197" s="73"/>
      <c r="K197" s="54"/>
      <c r="L197" s="54"/>
      <c r="M197" s="140"/>
      <c r="N197" s="54"/>
      <c r="O197" s="54"/>
      <c r="P197" s="54"/>
      <c r="Q197" s="54"/>
      <c r="R197" s="54"/>
      <c r="S197" s="54"/>
      <c r="T197" s="54"/>
      <c r="U197" s="54"/>
      <c r="W197" s="54"/>
      <c r="X197" s="71"/>
    </row>
    <row r="198" spans="4:24" ht="12.75">
      <c r="D198" s="73"/>
      <c r="K198" s="54"/>
      <c r="L198" s="54"/>
      <c r="M198" s="140"/>
      <c r="N198" s="54"/>
      <c r="O198" s="54"/>
      <c r="P198" s="54"/>
      <c r="Q198" s="54"/>
      <c r="R198" s="54"/>
      <c r="S198" s="54"/>
      <c r="T198" s="54"/>
      <c r="U198" s="54"/>
      <c r="W198" s="54"/>
      <c r="X198" s="71"/>
    </row>
    <row r="199" spans="4:24" ht="12.75">
      <c r="D199" s="73"/>
      <c r="K199" s="54"/>
      <c r="L199" s="54"/>
      <c r="M199" s="140"/>
      <c r="N199" s="54"/>
      <c r="O199" s="54"/>
      <c r="P199" s="54"/>
      <c r="Q199" s="54"/>
      <c r="R199" s="54"/>
      <c r="S199" s="54"/>
      <c r="T199" s="54"/>
      <c r="U199" s="54"/>
      <c r="W199" s="54"/>
      <c r="X199" s="71"/>
    </row>
    <row r="200" spans="4:24" ht="12.75">
      <c r="D200" s="73"/>
      <c r="K200" s="54"/>
      <c r="L200" s="54"/>
      <c r="M200" s="140"/>
      <c r="N200" s="54"/>
      <c r="O200" s="54"/>
      <c r="P200" s="54"/>
      <c r="Q200" s="54"/>
      <c r="R200" s="54"/>
      <c r="S200" s="54"/>
      <c r="T200" s="54"/>
      <c r="U200" s="54"/>
      <c r="W200" s="54"/>
      <c r="X200" s="71"/>
    </row>
    <row r="201" spans="4:24" ht="12.75">
      <c r="D201" s="73"/>
      <c r="K201" s="54"/>
      <c r="L201" s="54"/>
      <c r="M201" s="140"/>
      <c r="N201" s="54"/>
      <c r="O201" s="54"/>
      <c r="P201" s="54"/>
      <c r="Q201" s="54"/>
      <c r="R201" s="54"/>
      <c r="S201" s="54"/>
      <c r="T201" s="54"/>
      <c r="U201" s="54"/>
      <c r="W201" s="54"/>
      <c r="X201" s="71"/>
    </row>
    <row r="202" spans="4:24" ht="12.75">
      <c r="D202" s="73"/>
      <c r="K202" s="54"/>
      <c r="L202" s="54"/>
      <c r="M202" s="140"/>
      <c r="N202" s="54"/>
      <c r="O202" s="54"/>
      <c r="P202" s="54"/>
      <c r="Q202" s="54"/>
      <c r="R202" s="54"/>
      <c r="S202" s="54"/>
      <c r="T202" s="54"/>
      <c r="U202" s="54"/>
      <c r="W202" s="54"/>
      <c r="X202" s="71"/>
    </row>
    <row r="203" spans="4:24" ht="12.75">
      <c r="D203" s="73"/>
      <c r="K203" s="54"/>
      <c r="L203" s="54"/>
      <c r="M203" s="140"/>
      <c r="N203" s="54"/>
      <c r="O203" s="54"/>
      <c r="P203" s="54"/>
      <c r="Q203" s="54"/>
      <c r="R203" s="54"/>
      <c r="S203" s="54"/>
      <c r="T203" s="54"/>
      <c r="U203" s="54"/>
      <c r="W203" s="54"/>
      <c r="X203" s="71"/>
    </row>
    <row r="204" spans="4:24" ht="12.75">
      <c r="D204" s="73"/>
      <c r="K204" s="54"/>
      <c r="L204" s="54"/>
      <c r="M204" s="140"/>
      <c r="N204" s="54"/>
      <c r="O204" s="54"/>
      <c r="P204" s="54"/>
      <c r="Q204" s="54"/>
      <c r="R204" s="54"/>
      <c r="S204" s="54"/>
      <c r="T204" s="54"/>
      <c r="U204" s="54"/>
      <c r="W204" s="54"/>
      <c r="X204" s="71"/>
    </row>
    <row r="205" spans="4:24" ht="12.75">
      <c r="D205" s="73"/>
      <c r="K205" s="54"/>
      <c r="L205" s="54"/>
      <c r="M205" s="140"/>
      <c r="N205" s="54"/>
      <c r="O205" s="54"/>
      <c r="P205" s="54"/>
      <c r="Q205" s="54"/>
      <c r="R205" s="54"/>
      <c r="S205" s="54"/>
      <c r="T205" s="54"/>
      <c r="U205" s="54"/>
      <c r="W205" s="54"/>
      <c r="X205" s="71"/>
    </row>
    <row r="206" spans="4:24" ht="12.75">
      <c r="D206" s="73"/>
      <c r="K206" s="54"/>
      <c r="L206" s="54"/>
      <c r="M206" s="140"/>
      <c r="N206" s="54"/>
      <c r="O206" s="54"/>
      <c r="P206" s="54"/>
      <c r="Q206" s="54"/>
      <c r="R206" s="54"/>
      <c r="S206" s="54"/>
      <c r="T206" s="54"/>
      <c r="U206" s="54"/>
      <c r="W206" s="54"/>
      <c r="X206" s="71"/>
    </row>
    <row r="207" spans="4:24" ht="12.75">
      <c r="D207" s="73"/>
      <c r="K207" s="54"/>
      <c r="L207" s="54"/>
      <c r="M207" s="140"/>
      <c r="N207" s="54"/>
      <c r="O207" s="54"/>
      <c r="P207" s="54"/>
      <c r="Q207" s="54"/>
      <c r="R207" s="54"/>
      <c r="S207" s="54"/>
      <c r="T207" s="54"/>
      <c r="U207" s="54"/>
      <c r="W207" s="54"/>
      <c r="X207" s="71"/>
    </row>
    <row r="208" spans="4:24" ht="12.75">
      <c r="D208" s="73"/>
      <c r="K208" s="54"/>
      <c r="L208" s="54"/>
      <c r="M208" s="140"/>
      <c r="N208" s="54"/>
      <c r="O208" s="54"/>
      <c r="P208" s="54"/>
      <c r="Q208" s="54"/>
      <c r="R208" s="54"/>
      <c r="S208" s="54"/>
      <c r="T208" s="54"/>
      <c r="U208" s="54"/>
      <c r="W208" s="54"/>
      <c r="X208" s="71"/>
    </row>
    <row r="209" spans="4:24" ht="12.75">
      <c r="D209" s="73"/>
      <c r="K209" s="54"/>
      <c r="L209" s="54"/>
      <c r="M209" s="140"/>
      <c r="N209" s="54"/>
      <c r="O209" s="54"/>
      <c r="P209" s="54"/>
      <c r="Q209" s="54"/>
      <c r="R209" s="54"/>
      <c r="S209" s="54"/>
      <c r="T209" s="54"/>
      <c r="U209" s="54"/>
      <c r="W209" s="54"/>
      <c r="X209" s="71"/>
    </row>
    <row r="210" spans="4:24" ht="12.75">
      <c r="D210" s="73"/>
      <c r="K210" s="54"/>
      <c r="L210" s="54"/>
      <c r="M210" s="140"/>
      <c r="N210" s="54"/>
      <c r="O210" s="54"/>
      <c r="P210" s="54"/>
      <c r="Q210" s="54"/>
      <c r="R210" s="54"/>
      <c r="S210" s="54"/>
      <c r="T210" s="54"/>
      <c r="U210" s="54"/>
      <c r="W210" s="54"/>
      <c r="X210" s="71"/>
    </row>
    <row r="211" spans="4:24" ht="12.75">
      <c r="D211" s="73"/>
      <c r="K211" s="54"/>
      <c r="L211" s="54"/>
      <c r="M211" s="140"/>
      <c r="N211" s="54"/>
      <c r="O211" s="54"/>
      <c r="P211" s="54"/>
      <c r="Q211" s="54"/>
      <c r="R211" s="54"/>
      <c r="S211" s="54"/>
      <c r="T211" s="54"/>
      <c r="U211" s="54"/>
      <c r="W211" s="54"/>
      <c r="X211" s="71"/>
    </row>
    <row r="212" spans="4:24" ht="12.75">
      <c r="D212" s="73"/>
      <c r="K212" s="54"/>
      <c r="L212" s="54"/>
      <c r="M212" s="140"/>
      <c r="N212" s="54"/>
      <c r="O212" s="54"/>
      <c r="P212" s="54"/>
      <c r="Q212" s="54"/>
      <c r="R212" s="54"/>
      <c r="S212" s="54"/>
      <c r="T212" s="54"/>
      <c r="U212" s="54"/>
      <c r="W212" s="54"/>
      <c r="X212" s="71"/>
    </row>
    <row r="213" spans="4:24" ht="12.75">
      <c r="D213" s="73"/>
      <c r="K213" s="54"/>
      <c r="L213" s="54"/>
      <c r="M213" s="140"/>
      <c r="N213" s="54"/>
      <c r="O213" s="54"/>
      <c r="P213" s="54"/>
      <c r="Q213" s="54"/>
      <c r="R213" s="54"/>
      <c r="S213" s="54"/>
      <c r="T213" s="54"/>
      <c r="U213" s="54"/>
      <c r="W213" s="54"/>
      <c r="X213" s="71"/>
    </row>
    <row r="214" spans="4:24" ht="12.75">
      <c r="D214" s="73"/>
      <c r="K214" s="54"/>
      <c r="L214" s="54"/>
      <c r="M214" s="140"/>
      <c r="N214" s="54"/>
      <c r="O214" s="54"/>
      <c r="P214" s="54"/>
      <c r="Q214" s="54"/>
      <c r="R214" s="54"/>
      <c r="S214" s="54"/>
      <c r="T214" s="54"/>
      <c r="U214" s="54"/>
      <c r="W214" s="54"/>
      <c r="X214" s="71"/>
    </row>
    <row r="215" spans="4:24" ht="12.75">
      <c r="D215" s="73"/>
      <c r="K215" s="54"/>
      <c r="L215" s="54"/>
      <c r="M215" s="140"/>
      <c r="N215" s="54"/>
      <c r="O215" s="54"/>
      <c r="P215" s="54"/>
      <c r="Q215" s="54"/>
      <c r="R215" s="54"/>
      <c r="S215" s="54"/>
      <c r="T215" s="54"/>
      <c r="U215" s="54"/>
      <c r="W215" s="54"/>
      <c r="X215" s="71"/>
    </row>
    <row r="216" spans="4:24" ht="12.75">
      <c r="D216" s="73"/>
      <c r="K216" s="54"/>
      <c r="L216" s="54"/>
      <c r="M216" s="140"/>
      <c r="N216" s="54"/>
      <c r="O216" s="54"/>
      <c r="P216" s="54"/>
      <c r="Q216" s="54"/>
      <c r="R216" s="54"/>
      <c r="S216" s="54"/>
      <c r="T216" s="54"/>
      <c r="U216" s="54"/>
      <c r="W216" s="54"/>
      <c r="X216" s="71"/>
    </row>
    <row r="217" spans="4:24" ht="12.75">
      <c r="D217" s="73"/>
      <c r="K217" s="54"/>
      <c r="L217" s="54"/>
      <c r="M217" s="140"/>
      <c r="N217" s="54"/>
      <c r="O217" s="54"/>
      <c r="P217" s="54"/>
      <c r="Q217" s="54"/>
      <c r="R217" s="54"/>
      <c r="S217" s="54"/>
      <c r="T217" s="54"/>
      <c r="U217" s="54"/>
      <c r="W217" s="54"/>
      <c r="X217" s="71"/>
    </row>
    <row r="218" spans="4:24" ht="12.75">
      <c r="D218" s="73"/>
      <c r="K218" s="54"/>
      <c r="L218" s="54"/>
      <c r="M218" s="140"/>
      <c r="N218" s="54"/>
      <c r="O218" s="54"/>
      <c r="P218" s="54"/>
      <c r="Q218" s="54"/>
      <c r="R218" s="54"/>
      <c r="S218" s="54"/>
      <c r="T218" s="54"/>
      <c r="U218" s="54"/>
      <c r="W218" s="54"/>
      <c r="X218" s="71"/>
    </row>
    <row r="219" spans="4:24" ht="12.75">
      <c r="D219" s="73"/>
      <c r="K219" s="54"/>
      <c r="L219" s="54"/>
      <c r="M219" s="140"/>
      <c r="N219" s="54"/>
      <c r="O219" s="54"/>
      <c r="P219" s="54"/>
      <c r="Q219" s="54"/>
      <c r="R219" s="54"/>
      <c r="S219" s="54"/>
      <c r="T219" s="54"/>
      <c r="U219" s="54"/>
      <c r="W219" s="54"/>
      <c r="X219" s="71"/>
    </row>
    <row r="220" spans="4:24" ht="12.75">
      <c r="D220" s="73"/>
      <c r="K220" s="54"/>
      <c r="L220" s="54"/>
      <c r="M220" s="140"/>
      <c r="N220" s="54"/>
      <c r="O220" s="54"/>
      <c r="P220" s="54"/>
      <c r="Q220" s="54"/>
      <c r="R220" s="54"/>
      <c r="S220" s="54"/>
      <c r="T220" s="54"/>
      <c r="U220" s="54"/>
      <c r="W220" s="54"/>
      <c r="X220" s="71"/>
    </row>
    <row r="221" spans="4:24" ht="12.75">
      <c r="D221" s="73"/>
      <c r="K221" s="54"/>
      <c r="L221" s="54"/>
      <c r="M221" s="140"/>
      <c r="N221" s="54"/>
      <c r="O221" s="54"/>
      <c r="P221" s="54"/>
      <c r="Q221" s="54"/>
      <c r="R221" s="54"/>
      <c r="S221" s="54"/>
      <c r="T221" s="54"/>
      <c r="U221" s="54"/>
      <c r="W221" s="54"/>
      <c r="X221" s="71"/>
    </row>
    <row r="222" spans="4:24" ht="12.75">
      <c r="D222" s="73"/>
      <c r="K222" s="54"/>
      <c r="L222" s="54"/>
      <c r="M222" s="140"/>
      <c r="N222" s="54"/>
      <c r="O222" s="54"/>
      <c r="P222" s="54"/>
      <c r="Q222" s="54"/>
      <c r="R222" s="54"/>
      <c r="S222" s="54"/>
      <c r="T222" s="54"/>
      <c r="U222" s="54"/>
      <c r="W222" s="54"/>
      <c r="X222" s="71"/>
    </row>
    <row r="223" spans="4:24" ht="12.75">
      <c r="D223" s="73"/>
      <c r="K223" s="54"/>
      <c r="L223" s="54"/>
      <c r="M223" s="140"/>
      <c r="N223" s="54"/>
      <c r="O223" s="54"/>
      <c r="P223" s="54"/>
      <c r="Q223" s="54"/>
      <c r="R223" s="54"/>
      <c r="S223" s="54"/>
      <c r="T223" s="54"/>
      <c r="U223" s="54"/>
      <c r="W223" s="54"/>
      <c r="X223" s="71"/>
    </row>
    <row r="224" spans="4:24" ht="12.75">
      <c r="D224" s="73"/>
      <c r="K224" s="54"/>
      <c r="L224" s="54"/>
      <c r="M224" s="140"/>
      <c r="N224" s="54"/>
      <c r="O224" s="54"/>
      <c r="P224" s="54"/>
      <c r="Q224" s="54"/>
      <c r="R224" s="54"/>
      <c r="S224" s="54"/>
      <c r="T224" s="54"/>
      <c r="U224" s="54"/>
      <c r="W224" s="54"/>
      <c r="X224" s="71"/>
    </row>
    <row r="225" spans="4:24" ht="12.75">
      <c r="D225" s="73"/>
      <c r="K225" s="54"/>
      <c r="L225" s="54"/>
      <c r="M225" s="140"/>
      <c r="N225" s="54"/>
      <c r="O225" s="54"/>
      <c r="P225" s="54"/>
      <c r="Q225" s="54"/>
      <c r="R225" s="54"/>
      <c r="S225" s="54"/>
      <c r="T225" s="54"/>
      <c r="U225" s="54"/>
      <c r="W225" s="54"/>
      <c r="X225" s="71"/>
    </row>
    <row r="226" spans="4:24" ht="12.75">
      <c r="D226" s="73"/>
      <c r="K226" s="54"/>
      <c r="L226" s="54"/>
      <c r="M226" s="140"/>
      <c r="N226" s="54"/>
      <c r="O226" s="54"/>
      <c r="P226" s="54"/>
      <c r="Q226" s="54"/>
      <c r="R226" s="54"/>
      <c r="S226" s="54"/>
      <c r="T226" s="54"/>
      <c r="U226" s="54"/>
      <c r="W226" s="54"/>
      <c r="X226" s="71"/>
    </row>
    <row r="227" spans="4:24" ht="12.75">
      <c r="D227" s="73"/>
      <c r="K227" s="54"/>
      <c r="L227" s="54"/>
      <c r="M227" s="140"/>
      <c r="N227" s="54"/>
      <c r="O227" s="54"/>
      <c r="P227" s="54"/>
      <c r="Q227" s="54"/>
      <c r="R227" s="54"/>
      <c r="S227" s="54"/>
      <c r="T227" s="54"/>
      <c r="U227" s="54"/>
      <c r="W227" s="54"/>
      <c r="X227" s="71"/>
    </row>
    <row r="228" spans="4:24" ht="12.75">
      <c r="D228" s="73"/>
      <c r="K228" s="54"/>
      <c r="L228" s="54"/>
      <c r="M228" s="140"/>
      <c r="N228" s="54"/>
      <c r="O228" s="54"/>
      <c r="P228" s="54"/>
      <c r="Q228" s="54"/>
      <c r="R228" s="54"/>
      <c r="S228" s="54"/>
      <c r="T228" s="54"/>
      <c r="U228" s="54"/>
      <c r="W228" s="54"/>
      <c r="X228" s="71"/>
    </row>
    <row r="229" spans="4:24" ht="12.75">
      <c r="D229" s="73"/>
      <c r="K229" s="54"/>
      <c r="L229" s="54"/>
      <c r="M229" s="140"/>
      <c r="N229" s="54"/>
      <c r="O229" s="54"/>
      <c r="P229" s="54"/>
      <c r="Q229" s="54"/>
      <c r="R229" s="54"/>
      <c r="S229" s="54"/>
      <c r="T229" s="54"/>
      <c r="U229" s="54"/>
      <c r="W229" s="54"/>
      <c r="X229" s="71"/>
    </row>
    <row r="230" spans="4:24" ht="12.75">
      <c r="D230" s="73"/>
      <c r="K230" s="54"/>
      <c r="L230" s="54"/>
      <c r="M230" s="140"/>
      <c r="N230" s="54"/>
      <c r="O230" s="54"/>
      <c r="P230" s="54"/>
      <c r="Q230" s="54"/>
      <c r="R230" s="54"/>
      <c r="S230" s="54"/>
      <c r="T230" s="54"/>
      <c r="U230" s="54"/>
      <c r="W230" s="54"/>
      <c r="X230" s="71"/>
    </row>
    <row r="231" spans="4:24" ht="12.75">
      <c r="D231" s="73"/>
      <c r="K231" s="54"/>
      <c r="L231" s="54"/>
      <c r="M231" s="140"/>
      <c r="N231" s="54"/>
      <c r="O231" s="54"/>
      <c r="P231" s="54"/>
      <c r="Q231" s="54"/>
      <c r="R231" s="54"/>
      <c r="S231" s="54"/>
      <c r="T231" s="54"/>
      <c r="U231" s="54"/>
      <c r="W231" s="54"/>
      <c r="X231" s="71"/>
    </row>
    <row r="232" spans="4:24" ht="12.75">
      <c r="D232" s="73"/>
      <c r="K232" s="54"/>
      <c r="L232" s="54"/>
      <c r="M232" s="140"/>
      <c r="N232" s="54"/>
      <c r="O232" s="54"/>
      <c r="P232" s="54"/>
      <c r="Q232" s="54"/>
      <c r="R232" s="54"/>
      <c r="S232" s="54"/>
      <c r="T232" s="54"/>
      <c r="U232" s="54"/>
      <c r="W232" s="54"/>
      <c r="X232" s="71"/>
    </row>
    <row r="233" spans="4:24" ht="12.75">
      <c r="D233" s="73"/>
      <c r="K233" s="54"/>
      <c r="L233" s="54"/>
      <c r="M233" s="140"/>
      <c r="N233" s="54"/>
      <c r="O233" s="54"/>
      <c r="P233" s="54"/>
      <c r="Q233" s="54"/>
      <c r="R233" s="54"/>
      <c r="S233" s="54"/>
      <c r="T233" s="54"/>
      <c r="U233" s="54"/>
      <c r="W233" s="54"/>
      <c r="X233" s="71"/>
    </row>
    <row r="234" spans="4:24" ht="12.75">
      <c r="D234" s="73"/>
      <c r="K234" s="54"/>
      <c r="L234" s="54"/>
      <c r="M234" s="140"/>
      <c r="N234" s="54"/>
      <c r="O234" s="54"/>
      <c r="P234" s="54"/>
      <c r="Q234" s="54"/>
      <c r="R234" s="54"/>
      <c r="S234" s="54"/>
      <c r="T234" s="54"/>
      <c r="U234" s="54"/>
      <c r="W234" s="54"/>
      <c r="X234" s="71"/>
    </row>
    <row r="235" spans="4:24" ht="12.75">
      <c r="D235" s="73"/>
      <c r="K235" s="54"/>
      <c r="L235" s="54"/>
      <c r="M235" s="140"/>
      <c r="N235" s="54"/>
      <c r="O235" s="54"/>
      <c r="P235" s="54"/>
      <c r="Q235" s="54"/>
      <c r="R235" s="54"/>
      <c r="S235" s="54"/>
      <c r="T235" s="54"/>
      <c r="U235" s="54"/>
      <c r="W235" s="54"/>
      <c r="X235" s="71"/>
    </row>
    <row r="236" spans="4:24" ht="12.75">
      <c r="D236" s="73"/>
      <c r="K236" s="54"/>
      <c r="L236" s="54"/>
      <c r="M236" s="140"/>
      <c r="N236" s="54"/>
      <c r="O236" s="54"/>
      <c r="P236" s="54"/>
      <c r="Q236" s="54"/>
      <c r="R236" s="54"/>
      <c r="S236" s="54"/>
      <c r="T236" s="54"/>
      <c r="U236" s="54"/>
      <c r="W236" s="54"/>
      <c r="X236" s="71"/>
    </row>
    <row r="237" spans="4:24" ht="12.75">
      <c r="D237" s="73"/>
      <c r="K237" s="54"/>
      <c r="L237" s="54"/>
      <c r="M237" s="140"/>
      <c r="N237" s="54"/>
      <c r="O237" s="54"/>
      <c r="P237" s="54"/>
      <c r="Q237" s="54"/>
      <c r="R237" s="54"/>
      <c r="S237" s="54"/>
      <c r="T237" s="54"/>
      <c r="U237" s="54"/>
      <c r="W237" s="54"/>
      <c r="X237" s="71"/>
    </row>
    <row r="238" spans="4:24" ht="12.75">
      <c r="D238" s="73"/>
      <c r="K238" s="54"/>
      <c r="L238" s="54"/>
      <c r="M238" s="140"/>
      <c r="N238" s="54"/>
      <c r="O238" s="54"/>
      <c r="P238" s="54"/>
      <c r="Q238" s="54"/>
      <c r="R238" s="54"/>
      <c r="S238" s="54"/>
      <c r="T238" s="54"/>
      <c r="U238" s="54"/>
      <c r="W238" s="54"/>
      <c r="X238" s="71"/>
    </row>
    <row r="239" spans="4:24" ht="12.75">
      <c r="D239" s="73"/>
      <c r="K239" s="54"/>
      <c r="L239" s="54"/>
      <c r="M239" s="140"/>
      <c r="N239" s="54"/>
      <c r="O239" s="54"/>
      <c r="P239" s="54"/>
      <c r="Q239" s="54"/>
      <c r="R239" s="54"/>
      <c r="S239" s="54"/>
      <c r="T239" s="54"/>
      <c r="U239" s="54"/>
      <c r="W239" s="54"/>
      <c r="X239" s="71"/>
    </row>
    <row r="240" spans="4:24" ht="12.75">
      <c r="D240" s="73"/>
      <c r="K240" s="54"/>
      <c r="L240" s="54"/>
      <c r="M240" s="140"/>
      <c r="N240" s="54"/>
      <c r="O240" s="54"/>
      <c r="P240" s="54"/>
      <c r="Q240" s="54"/>
      <c r="R240" s="54"/>
      <c r="S240" s="54"/>
      <c r="T240" s="54"/>
      <c r="U240" s="54"/>
      <c r="W240" s="54"/>
      <c r="X240" s="71"/>
    </row>
    <row r="241" spans="4:24" ht="12.75">
      <c r="D241" s="73"/>
      <c r="K241" s="54"/>
      <c r="L241" s="54"/>
      <c r="M241" s="140"/>
      <c r="N241" s="54"/>
      <c r="O241" s="54"/>
      <c r="P241" s="54"/>
      <c r="Q241" s="54"/>
      <c r="R241" s="54"/>
      <c r="S241" s="54"/>
      <c r="T241" s="54"/>
      <c r="U241" s="54"/>
      <c r="W241" s="54"/>
      <c r="X241" s="71"/>
    </row>
    <row r="242" spans="4:24" ht="12.75">
      <c r="D242" s="73"/>
      <c r="K242" s="54"/>
      <c r="L242" s="54"/>
      <c r="M242" s="140"/>
      <c r="N242" s="54"/>
      <c r="O242" s="54"/>
      <c r="P242" s="54"/>
      <c r="Q242" s="54"/>
      <c r="R242" s="54"/>
      <c r="S242" s="54"/>
      <c r="T242" s="54"/>
      <c r="U242" s="54"/>
      <c r="W242" s="54"/>
      <c r="X242" s="71"/>
    </row>
    <row r="243" spans="4:24" ht="12.75">
      <c r="D243" s="73"/>
      <c r="K243" s="54"/>
      <c r="L243" s="54"/>
      <c r="M243" s="140"/>
      <c r="N243" s="54"/>
      <c r="O243" s="54"/>
      <c r="P243" s="54"/>
      <c r="Q243" s="54"/>
      <c r="R243" s="54"/>
      <c r="S243" s="54"/>
      <c r="T243" s="54"/>
      <c r="U243" s="54"/>
      <c r="W243" s="54"/>
      <c r="X243" s="71"/>
    </row>
    <row r="244" spans="4:24" ht="12.75">
      <c r="D244" s="73"/>
      <c r="K244" s="54"/>
      <c r="L244" s="54"/>
      <c r="M244" s="140"/>
      <c r="N244" s="54"/>
      <c r="O244" s="54"/>
      <c r="P244" s="54"/>
      <c r="Q244" s="54"/>
      <c r="R244" s="54"/>
      <c r="S244" s="54"/>
      <c r="T244" s="54"/>
      <c r="U244" s="54"/>
      <c r="W244" s="54"/>
      <c r="X244" s="71"/>
    </row>
    <row r="245" spans="4:24" ht="12.75">
      <c r="D245" s="73"/>
      <c r="K245" s="54"/>
      <c r="L245" s="54"/>
      <c r="M245" s="140"/>
      <c r="N245" s="54"/>
      <c r="O245" s="54"/>
      <c r="P245" s="54"/>
      <c r="Q245" s="54"/>
      <c r="R245" s="54"/>
      <c r="S245" s="54"/>
      <c r="T245" s="54"/>
      <c r="U245" s="54"/>
      <c r="W245" s="54"/>
      <c r="X245" s="71"/>
    </row>
    <row r="246" spans="4:24" ht="12.75">
      <c r="D246" s="73"/>
      <c r="K246" s="54"/>
      <c r="L246" s="54"/>
      <c r="M246" s="140"/>
      <c r="N246" s="54"/>
      <c r="O246" s="54"/>
      <c r="P246" s="54"/>
      <c r="Q246" s="54"/>
      <c r="R246" s="54"/>
      <c r="S246" s="54"/>
      <c r="T246" s="54"/>
      <c r="U246" s="54"/>
      <c r="W246" s="54"/>
      <c r="X246" s="71"/>
    </row>
    <row r="247" spans="4:24" ht="12.75">
      <c r="D247" s="73"/>
      <c r="K247" s="54"/>
      <c r="L247" s="54"/>
      <c r="M247" s="140"/>
      <c r="N247" s="54"/>
      <c r="O247" s="54"/>
      <c r="P247" s="54"/>
      <c r="Q247" s="54"/>
      <c r="R247" s="54"/>
      <c r="S247" s="54"/>
      <c r="T247" s="54"/>
      <c r="U247" s="54"/>
      <c r="W247" s="54"/>
      <c r="X247" s="71"/>
    </row>
    <row r="248" spans="4:24" ht="12.75">
      <c r="D248" s="73"/>
      <c r="K248" s="54"/>
      <c r="L248" s="54"/>
      <c r="M248" s="140"/>
      <c r="N248" s="54"/>
      <c r="O248" s="54"/>
      <c r="P248" s="54"/>
      <c r="Q248" s="54"/>
      <c r="R248" s="54"/>
      <c r="S248" s="54"/>
      <c r="T248" s="54"/>
      <c r="U248" s="54"/>
      <c r="W248" s="54"/>
      <c r="X248" s="71"/>
    </row>
    <row r="249" spans="4:24" ht="12.75">
      <c r="D249" s="73"/>
      <c r="K249" s="54"/>
      <c r="L249" s="54"/>
      <c r="M249" s="140"/>
      <c r="N249" s="54"/>
      <c r="O249" s="54"/>
      <c r="P249" s="54"/>
      <c r="Q249" s="54"/>
      <c r="R249" s="54"/>
      <c r="S249" s="54"/>
      <c r="T249" s="54"/>
      <c r="U249" s="54"/>
      <c r="W249" s="54"/>
      <c r="X249" s="71"/>
    </row>
    <row r="250" spans="4:24" ht="12.75">
      <c r="D250" s="73"/>
      <c r="K250" s="54"/>
      <c r="L250" s="54"/>
      <c r="M250" s="140"/>
      <c r="N250" s="54"/>
      <c r="O250" s="54"/>
      <c r="P250" s="54"/>
      <c r="Q250" s="54"/>
      <c r="R250" s="54"/>
      <c r="S250" s="54"/>
      <c r="T250" s="54"/>
      <c r="U250" s="54"/>
      <c r="W250" s="54"/>
      <c r="X250" s="71"/>
    </row>
    <row r="251" spans="4:24" ht="12.75">
      <c r="D251" s="73"/>
      <c r="K251" s="54"/>
      <c r="L251" s="54"/>
      <c r="M251" s="140"/>
      <c r="N251" s="54"/>
      <c r="O251" s="54"/>
      <c r="P251" s="54"/>
      <c r="Q251" s="54"/>
      <c r="R251" s="54"/>
      <c r="S251" s="54"/>
      <c r="T251" s="54"/>
      <c r="U251" s="54"/>
      <c r="W251" s="54"/>
      <c r="X251" s="71"/>
    </row>
    <row r="252" spans="4:24" ht="12.75">
      <c r="D252" s="73"/>
      <c r="K252" s="54"/>
      <c r="L252" s="54"/>
      <c r="M252" s="140"/>
      <c r="N252" s="54"/>
      <c r="O252" s="54"/>
      <c r="P252" s="54"/>
      <c r="Q252" s="54"/>
      <c r="R252" s="54"/>
      <c r="S252" s="54"/>
      <c r="T252" s="54"/>
      <c r="U252" s="54"/>
      <c r="W252" s="54"/>
      <c r="X252" s="71"/>
    </row>
    <row r="253" spans="4:24" ht="12.75">
      <c r="D253" s="73"/>
      <c r="K253" s="54"/>
      <c r="L253" s="54"/>
      <c r="M253" s="140"/>
      <c r="N253" s="54"/>
      <c r="O253" s="54"/>
      <c r="P253" s="54"/>
      <c r="Q253" s="54"/>
      <c r="R253" s="54"/>
      <c r="S253" s="54"/>
      <c r="T253" s="54"/>
      <c r="U253" s="54"/>
      <c r="W253" s="54"/>
      <c r="X253" s="71"/>
    </row>
    <row r="254" spans="4:24" ht="12.75">
      <c r="D254" s="73"/>
      <c r="K254" s="54"/>
      <c r="L254" s="54"/>
      <c r="M254" s="140"/>
      <c r="N254" s="54"/>
      <c r="O254" s="54"/>
      <c r="P254" s="54"/>
      <c r="Q254" s="54"/>
      <c r="R254" s="54"/>
      <c r="S254" s="54"/>
      <c r="T254" s="54"/>
      <c r="U254" s="54"/>
      <c r="W254" s="54"/>
      <c r="X254" s="71"/>
    </row>
    <row r="255" spans="4:24" ht="12.75">
      <c r="D255" s="73"/>
      <c r="K255" s="54"/>
      <c r="L255" s="54"/>
      <c r="M255" s="140"/>
      <c r="N255" s="54"/>
      <c r="O255" s="54"/>
      <c r="P255" s="54"/>
      <c r="Q255" s="54"/>
      <c r="R255" s="54"/>
      <c r="S255" s="54"/>
      <c r="T255" s="54"/>
      <c r="U255" s="54"/>
      <c r="W255" s="54"/>
      <c r="X255" s="71"/>
    </row>
    <row r="256" spans="4:24" ht="12.75">
      <c r="D256" s="73"/>
      <c r="K256" s="54"/>
      <c r="L256" s="54"/>
      <c r="M256" s="140"/>
      <c r="N256" s="54"/>
      <c r="O256" s="54"/>
      <c r="P256" s="54"/>
      <c r="Q256" s="54"/>
      <c r="R256" s="54"/>
      <c r="S256" s="54"/>
      <c r="T256" s="54"/>
      <c r="U256" s="54"/>
      <c r="W256" s="54"/>
      <c r="X256" s="71"/>
    </row>
    <row r="257" spans="4:24" ht="12.75">
      <c r="D257" s="73"/>
      <c r="K257" s="54"/>
      <c r="L257" s="54"/>
      <c r="M257" s="140"/>
      <c r="N257" s="54"/>
      <c r="O257" s="54"/>
      <c r="P257" s="54"/>
      <c r="Q257" s="54"/>
      <c r="R257" s="54"/>
      <c r="S257" s="54"/>
      <c r="T257" s="54"/>
      <c r="U257" s="54"/>
      <c r="W257" s="54"/>
      <c r="X257" s="71"/>
    </row>
    <row r="258" spans="4:24" ht="12.75">
      <c r="D258" s="73"/>
      <c r="K258" s="54"/>
      <c r="L258" s="54"/>
      <c r="M258" s="140"/>
      <c r="N258" s="54"/>
      <c r="O258" s="54"/>
      <c r="P258" s="54"/>
      <c r="Q258" s="54"/>
      <c r="R258" s="54"/>
      <c r="S258" s="54"/>
      <c r="T258" s="54"/>
      <c r="U258" s="54"/>
      <c r="W258" s="54"/>
      <c r="X258" s="71"/>
    </row>
    <row r="259" spans="4:24" ht="12.75">
      <c r="D259" s="73"/>
      <c r="K259" s="54"/>
      <c r="L259" s="54"/>
      <c r="M259" s="140"/>
      <c r="N259" s="54"/>
      <c r="O259" s="54"/>
      <c r="P259" s="54"/>
      <c r="Q259" s="54"/>
      <c r="R259" s="54"/>
      <c r="S259" s="54"/>
      <c r="T259" s="54"/>
      <c r="U259" s="54"/>
      <c r="W259" s="54"/>
      <c r="X259" s="71"/>
    </row>
    <row r="260" spans="4:24" ht="12.75">
      <c r="D260" s="73"/>
      <c r="K260" s="54"/>
      <c r="L260" s="54"/>
      <c r="M260" s="140"/>
      <c r="N260" s="54"/>
      <c r="O260" s="54"/>
      <c r="P260" s="54"/>
      <c r="Q260" s="54"/>
      <c r="R260" s="54"/>
      <c r="S260" s="54"/>
      <c r="T260" s="54"/>
      <c r="U260" s="54"/>
      <c r="W260" s="54"/>
      <c r="X260" s="71"/>
    </row>
    <row r="261" spans="4:24" ht="12.75">
      <c r="D261" s="73"/>
      <c r="K261" s="54"/>
      <c r="L261" s="54"/>
      <c r="M261" s="140"/>
      <c r="N261" s="54"/>
      <c r="O261" s="54"/>
      <c r="P261" s="54"/>
      <c r="Q261" s="54"/>
      <c r="R261" s="54"/>
      <c r="S261" s="54"/>
      <c r="T261" s="54"/>
      <c r="U261" s="54"/>
      <c r="W261" s="54"/>
      <c r="X261" s="71"/>
    </row>
    <row r="262" spans="4:24" ht="12.75">
      <c r="D262" s="73"/>
      <c r="K262" s="54"/>
      <c r="L262" s="54"/>
      <c r="M262" s="140"/>
      <c r="N262" s="54"/>
      <c r="O262" s="54"/>
      <c r="P262" s="54"/>
      <c r="Q262" s="54"/>
      <c r="R262" s="54"/>
      <c r="S262" s="54"/>
      <c r="T262" s="54"/>
      <c r="U262" s="54"/>
      <c r="W262" s="54"/>
      <c r="X262" s="71"/>
    </row>
    <row r="263" spans="4:24" ht="12.75">
      <c r="D263" s="73"/>
      <c r="K263" s="54"/>
      <c r="L263" s="54"/>
      <c r="M263" s="140"/>
      <c r="N263" s="54"/>
      <c r="O263" s="54"/>
      <c r="P263" s="54"/>
      <c r="Q263" s="54"/>
      <c r="R263" s="54"/>
      <c r="S263" s="54"/>
      <c r="T263" s="54"/>
      <c r="U263" s="54"/>
      <c r="W263" s="54"/>
      <c r="X263" s="71"/>
    </row>
    <row r="264" spans="4:24" ht="12.75">
      <c r="D264" s="73"/>
      <c r="K264" s="54"/>
      <c r="L264" s="54"/>
      <c r="M264" s="140"/>
      <c r="N264" s="54"/>
      <c r="O264" s="54"/>
      <c r="P264" s="54"/>
      <c r="Q264" s="54"/>
      <c r="R264" s="54"/>
      <c r="S264" s="54"/>
      <c r="T264" s="54"/>
      <c r="U264" s="54"/>
      <c r="W264" s="54"/>
      <c r="X264" s="71"/>
    </row>
    <row r="265" spans="4:24" ht="12.75">
      <c r="D265" s="73"/>
      <c r="K265" s="54"/>
      <c r="L265" s="54"/>
      <c r="M265" s="140"/>
      <c r="N265" s="54"/>
      <c r="O265" s="54"/>
      <c r="P265" s="54"/>
      <c r="Q265" s="54"/>
      <c r="R265" s="54"/>
      <c r="S265" s="54"/>
      <c r="T265" s="54"/>
      <c r="U265" s="54"/>
      <c r="W265" s="54"/>
      <c r="X265" s="71"/>
    </row>
    <row r="266" spans="4:24" ht="12.75">
      <c r="D266" s="73"/>
      <c r="K266" s="54"/>
      <c r="L266" s="54"/>
      <c r="M266" s="140"/>
      <c r="N266" s="54"/>
      <c r="O266" s="54"/>
      <c r="P266" s="54"/>
      <c r="Q266" s="54"/>
      <c r="R266" s="54"/>
      <c r="S266" s="54"/>
      <c r="T266" s="54"/>
      <c r="U266" s="54"/>
      <c r="W266" s="54"/>
      <c r="X266" s="71"/>
    </row>
    <row r="267" spans="4:24" ht="12.75">
      <c r="D267" s="73"/>
      <c r="K267" s="54"/>
      <c r="L267" s="54"/>
      <c r="M267" s="140"/>
      <c r="N267" s="54"/>
      <c r="O267" s="54"/>
      <c r="P267" s="54"/>
      <c r="Q267" s="54"/>
      <c r="R267" s="54"/>
      <c r="S267" s="54"/>
      <c r="T267" s="54"/>
      <c r="U267" s="54"/>
      <c r="W267" s="54"/>
      <c r="X267" s="71"/>
    </row>
    <row r="268" spans="4:24" ht="12.75">
      <c r="D268" s="73"/>
      <c r="K268" s="54"/>
      <c r="L268" s="54"/>
      <c r="M268" s="140"/>
      <c r="N268" s="54"/>
      <c r="O268" s="54"/>
      <c r="P268" s="54"/>
      <c r="Q268" s="54"/>
      <c r="R268" s="54"/>
      <c r="S268" s="54"/>
      <c r="T268" s="54"/>
      <c r="U268" s="54"/>
      <c r="W268" s="54"/>
      <c r="X268" s="71"/>
    </row>
    <row r="269" spans="4:24" ht="12.75">
      <c r="D269" s="73"/>
      <c r="K269" s="54"/>
      <c r="L269" s="54"/>
      <c r="M269" s="140"/>
      <c r="N269" s="54"/>
      <c r="O269" s="54"/>
      <c r="P269" s="54"/>
      <c r="Q269" s="54"/>
      <c r="R269" s="54"/>
      <c r="S269" s="54"/>
      <c r="T269" s="54"/>
      <c r="U269" s="54"/>
      <c r="W269" s="54"/>
      <c r="X269" s="71"/>
    </row>
    <row r="270" spans="4:24" ht="12.75">
      <c r="D270" s="73"/>
      <c r="K270" s="54"/>
      <c r="L270" s="54"/>
      <c r="M270" s="140"/>
      <c r="N270" s="54"/>
      <c r="O270" s="54"/>
      <c r="P270" s="54"/>
      <c r="Q270" s="54"/>
      <c r="R270" s="54"/>
      <c r="S270" s="54"/>
      <c r="T270" s="54"/>
      <c r="U270" s="54"/>
      <c r="W270" s="54"/>
      <c r="X270" s="71"/>
    </row>
    <row r="271" spans="4:24" ht="12.75">
      <c r="D271" s="73"/>
      <c r="K271" s="54"/>
      <c r="L271" s="54"/>
      <c r="M271" s="140"/>
      <c r="N271" s="54"/>
      <c r="O271" s="54"/>
      <c r="P271" s="54"/>
      <c r="Q271" s="54"/>
      <c r="R271" s="54"/>
      <c r="S271" s="54"/>
      <c r="T271" s="54"/>
      <c r="U271" s="54"/>
      <c r="W271" s="54"/>
      <c r="X271" s="71"/>
    </row>
    <row r="272" spans="4:24" ht="12.75">
      <c r="D272" s="73"/>
      <c r="K272" s="54"/>
      <c r="L272" s="54"/>
      <c r="M272" s="140"/>
      <c r="N272" s="54"/>
      <c r="O272" s="54"/>
      <c r="P272" s="54"/>
      <c r="Q272" s="54"/>
      <c r="R272" s="54"/>
      <c r="S272" s="54"/>
      <c r="T272" s="54"/>
      <c r="U272" s="54"/>
      <c r="W272" s="54"/>
      <c r="X272" s="71"/>
    </row>
    <row r="273" spans="4:24" ht="12.75">
      <c r="D273" s="73"/>
      <c r="K273" s="54"/>
      <c r="L273" s="54"/>
      <c r="M273" s="140"/>
      <c r="N273" s="54"/>
      <c r="O273" s="54"/>
      <c r="P273" s="54"/>
      <c r="Q273" s="54"/>
      <c r="R273" s="54"/>
      <c r="S273" s="54"/>
      <c r="T273" s="54"/>
      <c r="U273" s="54"/>
      <c r="W273" s="54"/>
      <c r="X273" s="71"/>
    </row>
    <row r="274" spans="4:24" ht="12.75">
      <c r="D274" s="73"/>
      <c r="K274" s="54"/>
      <c r="L274" s="54"/>
      <c r="M274" s="140"/>
      <c r="N274" s="54"/>
      <c r="O274" s="54"/>
      <c r="P274" s="54"/>
      <c r="Q274" s="54"/>
      <c r="R274" s="54"/>
      <c r="S274" s="54"/>
      <c r="T274" s="54"/>
      <c r="U274" s="54"/>
      <c r="W274" s="54"/>
      <c r="X274" s="71"/>
    </row>
    <row r="275" spans="4:24" ht="12.75">
      <c r="D275" s="73"/>
      <c r="K275" s="54"/>
      <c r="L275" s="54"/>
      <c r="M275" s="140"/>
      <c r="N275" s="54"/>
      <c r="O275" s="54"/>
      <c r="P275" s="54"/>
      <c r="Q275" s="54"/>
      <c r="R275" s="54"/>
      <c r="S275" s="54"/>
      <c r="T275" s="54"/>
      <c r="U275" s="54"/>
      <c r="W275" s="54"/>
      <c r="X275" s="71"/>
    </row>
    <row r="276" spans="4:24" ht="12.75">
      <c r="D276" s="73"/>
      <c r="K276" s="54"/>
      <c r="L276" s="54"/>
      <c r="M276" s="140"/>
      <c r="N276" s="54"/>
      <c r="O276" s="54"/>
      <c r="P276" s="54"/>
      <c r="Q276" s="54"/>
      <c r="R276" s="54"/>
      <c r="S276" s="54"/>
      <c r="T276" s="54"/>
      <c r="U276" s="54"/>
      <c r="W276" s="54"/>
      <c r="X276" s="71"/>
    </row>
    <row r="277" spans="4:24" ht="12.75">
      <c r="D277" s="73"/>
      <c r="K277" s="54"/>
      <c r="L277" s="54"/>
      <c r="M277" s="140"/>
      <c r="N277" s="54"/>
      <c r="O277" s="54"/>
      <c r="P277" s="54"/>
      <c r="Q277" s="54"/>
      <c r="R277" s="54"/>
      <c r="S277" s="54"/>
      <c r="T277" s="54"/>
      <c r="U277" s="54"/>
      <c r="W277" s="54"/>
      <c r="X277" s="71"/>
    </row>
    <row r="278" spans="4:24" ht="12.75">
      <c r="D278" s="73"/>
      <c r="K278" s="54"/>
      <c r="L278" s="54"/>
      <c r="M278" s="140"/>
      <c r="N278" s="54"/>
      <c r="O278" s="54"/>
      <c r="P278" s="54"/>
      <c r="Q278" s="54"/>
      <c r="R278" s="54"/>
      <c r="S278" s="54"/>
      <c r="T278" s="54"/>
      <c r="U278" s="54"/>
      <c r="W278" s="54"/>
      <c r="X278" s="71"/>
    </row>
    <row r="279" spans="4:24" ht="12.75">
      <c r="D279" s="73"/>
      <c r="K279" s="54"/>
      <c r="L279" s="54"/>
      <c r="M279" s="140"/>
      <c r="N279" s="54"/>
      <c r="O279" s="54"/>
      <c r="P279" s="54"/>
      <c r="Q279" s="54"/>
      <c r="R279" s="54"/>
      <c r="S279" s="54"/>
      <c r="T279" s="54"/>
      <c r="U279" s="54"/>
      <c r="W279" s="54"/>
      <c r="X279" s="71"/>
    </row>
    <row r="280" spans="4:24" ht="12.75">
      <c r="D280" s="73"/>
      <c r="K280" s="54"/>
      <c r="L280" s="54"/>
      <c r="M280" s="140"/>
      <c r="N280" s="54"/>
      <c r="O280" s="54"/>
      <c r="P280" s="54"/>
      <c r="Q280" s="54"/>
      <c r="R280" s="54"/>
      <c r="S280" s="54"/>
      <c r="T280" s="54"/>
      <c r="U280" s="54"/>
      <c r="W280" s="54"/>
      <c r="X280" s="71"/>
    </row>
    <row r="281" spans="4:24" ht="12.75">
      <c r="D281" s="73"/>
      <c r="K281" s="54"/>
      <c r="L281" s="54"/>
      <c r="M281" s="140"/>
      <c r="N281" s="54"/>
      <c r="O281" s="54"/>
      <c r="P281" s="54"/>
      <c r="Q281" s="54"/>
      <c r="R281" s="54"/>
      <c r="S281" s="54"/>
      <c r="T281" s="54"/>
      <c r="U281" s="54"/>
      <c r="W281" s="54"/>
      <c r="X281" s="71"/>
    </row>
    <row r="282" spans="4:24" ht="12.75">
      <c r="D282" s="73"/>
      <c r="K282" s="54"/>
      <c r="L282" s="54"/>
      <c r="M282" s="140"/>
      <c r="N282" s="54"/>
      <c r="O282" s="54"/>
      <c r="P282" s="54"/>
      <c r="Q282" s="54"/>
      <c r="R282" s="54"/>
      <c r="S282" s="54"/>
      <c r="T282" s="54"/>
      <c r="U282" s="54"/>
      <c r="W282" s="54"/>
      <c r="X282" s="71"/>
    </row>
    <row r="283" spans="4:24" ht="12.75">
      <c r="D283" s="73"/>
      <c r="K283" s="54"/>
      <c r="L283" s="54"/>
      <c r="M283" s="140"/>
      <c r="N283" s="54"/>
      <c r="O283" s="54"/>
      <c r="P283" s="54"/>
      <c r="Q283" s="54"/>
      <c r="R283" s="54"/>
      <c r="S283" s="54"/>
      <c r="T283" s="54"/>
      <c r="U283" s="54"/>
      <c r="W283" s="54"/>
      <c r="X283" s="71"/>
    </row>
    <row r="284" spans="4:24" ht="12.75">
      <c r="D284" s="73"/>
      <c r="K284" s="54"/>
      <c r="L284" s="54"/>
      <c r="M284" s="140"/>
      <c r="N284" s="54"/>
      <c r="O284" s="54"/>
      <c r="P284" s="54"/>
      <c r="Q284" s="54"/>
      <c r="R284" s="54"/>
      <c r="S284" s="54"/>
      <c r="T284" s="54"/>
      <c r="U284" s="54"/>
      <c r="W284" s="54"/>
      <c r="X284" s="71"/>
    </row>
    <row r="285" spans="4:24" ht="12.75">
      <c r="D285" s="73"/>
      <c r="K285" s="54"/>
      <c r="L285" s="54"/>
      <c r="M285" s="140"/>
      <c r="N285" s="54"/>
      <c r="O285" s="54"/>
      <c r="P285" s="54"/>
      <c r="Q285" s="54"/>
      <c r="R285" s="54"/>
      <c r="S285" s="54"/>
      <c r="T285" s="54"/>
      <c r="U285" s="54"/>
      <c r="W285" s="54"/>
      <c r="X285" s="71"/>
    </row>
    <row r="286" spans="4:24" ht="12.75">
      <c r="D286" s="73"/>
      <c r="K286" s="54"/>
      <c r="L286" s="54"/>
      <c r="M286" s="140"/>
      <c r="N286" s="54"/>
      <c r="O286" s="54"/>
      <c r="P286" s="54"/>
      <c r="Q286" s="54"/>
      <c r="R286" s="54"/>
      <c r="S286" s="54"/>
      <c r="T286" s="54"/>
      <c r="U286" s="54"/>
      <c r="W286" s="54"/>
      <c r="X286" s="71"/>
    </row>
    <row r="287" spans="4:24" ht="12.75">
      <c r="D287" s="73"/>
      <c r="K287" s="54"/>
      <c r="L287" s="54"/>
      <c r="M287" s="140"/>
      <c r="N287" s="54"/>
      <c r="O287" s="54"/>
      <c r="P287" s="54"/>
      <c r="Q287" s="54"/>
      <c r="R287" s="54"/>
      <c r="S287" s="54"/>
      <c r="T287" s="54"/>
      <c r="U287" s="54"/>
      <c r="W287" s="54"/>
      <c r="X287" s="71"/>
    </row>
    <row r="288" spans="4:24" ht="12.75">
      <c r="D288" s="73"/>
      <c r="K288" s="54"/>
      <c r="L288" s="54"/>
      <c r="M288" s="140"/>
      <c r="N288" s="54"/>
      <c r="O288" s="54"/>
      <c r="P288" s="54"/>
      <c r="Q288" s="54"/>
      <c r="R288" s="54"/>
      <c r="S288" s="54"/>
      <c r="T288" s="54"/>
      <c r="U288" s="54"/>
      <c r="W288" s="54"/>
      <c r="X288" s="71"/>
    </row>
    <row r="289" spans="4:24" ht="12.75">
      <c r="D289" s="73"/>
      <c r="K289" s="54"/>
      <c r="L289" s="54"/>
      <c r="M289" s="140"/>
      <c r="N289" s="54"/>
      <c r="O289" s="54"/>
      <c r="P289" s="54"/>
      <c r="Q289" s="54"/>
      <c r="R289" s="54"/>
      <c r="S289" s="54"/>
      <c r="T289" s="54"/>
      <c r="U289" s="54"/>
      <c r="W289" s="54"/>
      <c r="X289" s="71"/>
    </row>
    <row r="290" spans="4:24" ht="12.75">
      <c r="D290" s="73"/>
      <c r="K290" s="54"/>
      <c r="L290" s="54"/>
      <c r="M290" s="140"/>
      <c r="N290" s="54"/>
      <c r="O290" s="54"/>
      <c r="P290" s="54"/>
      <c r="Q290" s="54"/>
      <c r="R290" s="54"/>
      <c r="S290" s="54"/>
      <c r="T290" s="54"/>
      <c r="U290" s="54"/>
      <c r="W290" s="54"/>
      <c r="X290" s="71"/>
    </row>
    <row r="291" spans="4:24" ht="12.75">
      <c r="D291" s="73"/>
      <c r="K291" s="54"/>
      <c r="L291" s="54"/>
      <c r="M291" s="140"/>
      <c r="N291" s="54"/>
      <c r="O291" s="54"/>
      <c r="P291" s="54"/>
      <c r="Q291" s="54"/>
      <c r="R291" s="54"/>
      <c r="S291" s="54"/>
      <c r="T291" s="54"/>
      <c r="U291" s="54"/>
      <c r="W291" s="54"/>
      <c r="X291" s="71"/>
    </row>
    <row r="292" spans="4:24" ht="12.75">
      <c r="D292" s="73"/>
      <c r="K292" s="54"/>
      <c r="L292" s="54"/>
      <c r="M292" s="140"/>
      <c r="N292" s="54"/>
      <c r="O292" s="54"/>
      <c r="P292" s="54"/>
      <c r="Q292" s="54"/>
      <c r="R292" s="54"/>
      <c r="S292" s="54"/>
      <c r="T292" s="54"/>
      <c r="U292" s="54"/>
      <c r="W292" s="54"/>
      <c r="X292" s="71"/>
    </row>
    <row r="293" spans="4:24" ht="12.75">
      <c r="D293" s="73"/>
      <c r="K293" s="54"/>
      <c r="L293" s="54"/>
      <c r="M293" s="140"/>
      <c r="N293" s="54"/>
      <c r="O293" s="54"/>
      <c r="P293" s="54"/>
      <c r="Q293" s="54"/>
      <c r="R293" s="54"/>
      <c r="S293" s="54"/>
      <c r="T293" s="54"/>
      <c r="U293" s="54"/>
      <c r="W293" s="54"/>
      <c r="X293" s="71"/>
    </row>
    <row r="294" spans="4:24" ht="12.75">
      <c r="D294" s="73"/>
      <c r="K294" s="54"/>
      <c r="L294" s="54"/>
      <c r="M294" s="140"/>
      <c r="N294" s="54"/>
      <c r="O294" s="54"/>
      <c r="P294" s="54"/>
      <c r="Q294" s="54"/>
      <c r="R294" s="54"/>
      <c r="S294" s="54"/>
      <c r="T294" s="54"/>
      <c r="U294" s="54"/>
      <c r="W294" s="54"/>
      <c r="X294" s="71"/>
    </row>
    <row r="295" spans="4:24" ht="12.75">
      <c r="D295" s="73"/>
      <c r="K295" s="54"/>
      <c r="L295" s="54"/>
      <c r="M295" s="140"/>
      <c r="N295" s="54"/>
      <c r="O295" s="54"/>
      <c r="P295" s="54"/>
      <c r="Q295" s="54"/>
      <c r="R295" s="54"/>
      <c r="S295" s="54"/>
      <c r="T295" s="54"/>
      <c r="U295" s="54"/>
      <c r="W295" s="54"/>
      <c r="X295" s="71"/>
    </row>
    <row r="296" spans="4:24" ht="12.75">
      <c r="D296" s="73"/>
      <c r="K296" s="54"/>
      <c r="L296" s="54"/>
      <c r="M296" s="140"/>
      <c r="N296" s="54"/>
      <c r="O296" s="54"/>
      <c r="P296" s="54"/>
      <c r="Q296" s="54"/>
      <c r="R296" s="54"/>
      <c r="S296" s="54"/>
      <c r="T296" s="54"/>
      <c r="U296" s="54"/>
      <c r="W296" s="54"/>
      <c r="X296" s="71"/>
    </row>
    <row r="297" spans="4:24" ht="12.75">
      <c r="D297" s="73"/>
      <c r="K297" s="54"/>
      <c r="L297" s="54"/>
      <c r="M297" s="140"/>
      <c r="N297" s="54"/>
      <c r="O297" s="54"/>
      <c r="P297" s="54"/>
      <c r="Q297" s="54"/>
      <c r="R297" s="54"/>
      <c r="S297" s="54"/>
      <c r="T297" s="54"/>
      <c r="U297" s="54"/>
      <c r="W297" s="54"/>
      <c r="X297" s="71"/>
    </row>
    <row r="298" spans="4:24" ht="12.75">
      <c r="D298" s="73"/>
      <c r="K298" s="54"/>
      <c r="L298" s="54"/>
      <c r="M298" s="140"/>
      <c r="N298" s="54"/>
      <c r="O298" s="54"/>
      <c r="P298" s="54"/>
      <c r="Q298" s="54"/>
      <c r="R298" s="54"/>
      <c r="S298" s="54"/>
      <c r="T298" s="54"/>
      <c r="U298" s="54"/>
      <c r="W298" s="54"/>
      <c r="X298" s="71"/>
    </row>
    <row r="299" spans="4:24" ht="12.75">
      <c r="D299" s="73"/>
      <c r="K299" s="54"/>
      <c r="L299" s="54"/>
      <c r="M299" s="140"/>
      <c r="N299" s="54"/>
      <c r="O299" s="54"/>
      <c r="P299" s="54"/>
      <c r="Q299" s="54"/>
      <c r="R299" s="54"/>
      <c r="S299" s="54"/>
      <c r="T299" s="54"/>
      <c r="U299" s="54"/>
      <c r="W299" s="54"/>
      <c r="X299" s="71"/>
    </row>
    <row r="300" spans="4:24" ht="12.75">
      <c r="D300" s="73"/>
      <c r="K300" s="54"/>
      <c r="L300" s="54"/>
      <c r="M300" s="140"/>
      <c r="N300" s="54"/>
      <c r="O300" s="54"/>
      <c r="P300" s="54"/>
      <c r="Q300" s="54"/>
      <c r="R300" s="54"/>
      <c r="S300" s="54"/>
      <c r="T300" s="54"/>
      <c r="U300" s="54"/>
      <c r="W300" s="54"/>
      <c r="X300" s="71"/>
    </row>
    <row r="301" spans="4:24" ht="12.75">
      <c r="D301" s="73"/>
      <c r="K301" s="54"/>
      <c r="L301" s="54"/>
      <c r="M301" s="140"/>
      <c r="N301" s="54"/>
      <c r="O301" s="54"/>
      <c r="P301" s="54"/>
      <c r="Q301" s="54"/>
      <c r="R301" s="54"/>
      <c r="S301" s="54"/>
      <c r="T301" s="54"/>
      <c r="U301" s="54"/>
      <c r="W301" s="54"/>
      <c r="X301" s="71"/>
    </row>
    <row r="302" spans="4:24" ht="12.75">
      <c r="D302" s="73"/>
      <c r="K302" s="54"/>
      <c r="L302" s="54"/>
      <c r="M302" s="140"/>
      <c r="N302" s="54"/>
      <c r="O302" s="54"/>
      <c r="P302" s="54"/>
      <c r="Q302" s="54"/>
      <c r="R302" s="54"/>
      <c r="S302" s="54"/>
      <c r="T302" s="54"/>
      <c r="U302" s="54"/>
      <c r="W302" s="54"/>
      <c r="X302" s="71"/>
    </row>
    <row r="303" spans="4:24" ht="12.75">
      <c r="D303" s="73"/>
      <c r="K303" s="54"/>
      <c r="L303" s="54"/>
      <c r="M303" s="140"/>
      <c r="N303" s="54"/>
      <c r="O303" s="54"/>
      <c r="P303" s="54"/>
      <c r="Q303" s="54"/>
      <c r="R303" s="54"/>
      <c r="S303" s="54"/>
      <c r="T303" s="54"/>
      <c r="U303" s="54"/>
      <c r="W303" s="54"/>
      <c r="X303" s="71"/>
    </row>
    <row r="304" spans="4:24" ht="12.75">
      <c r="D304" s="73"/>
      <c r="K304" s="54"/>
      <c r="L304" s="54"/>
      <c r="M304" s="140"/>
      <c r="N304" s="54"/>
      <c r="O304" s="54"/>
      <c r="P304" s="54"/>
      <c r="Q304" s="54"/>
      <c r="R304" s="54"/>
      <c r="S304" s="54"/>
      <c r="T304" s="54"/>
      <c r="U304" s="54"/>
      <c r="W304" s="54"/>
      <c r="X304" s="71"/>
    </row>
    <row r="305" spans="4:24" ht="12.75">
      <c r="D305" s="73"/>
      <c r="K305" s="54"/>
      <c r="L305" s="54"/>
      <c r="M305" s="140"/>
      <c r="N305" s="54"/>
      <c r="O305" s="54"/>
      <c r="P305" s="54"/>
      <c r="Q305" s="54"/>
      <c r="R305" s="54"/>
      <c r="S305" s="54"/>
      <c r="T305" s="54"/>
      <c r="U305" s="54"/>
      <c r="W305" s="54"/>
      <c r="X305" s="71"/>
    </row>
    <row r="306" spans="4:24" ht="12.75">
      <c r="D306" s="73"/>
      <c r="K306" s="54"/>
      <c r="L306" s="54"/>
      <c r="M306" s="140"/>
      <c r="N306" s="54"/>
      <c r="O306" s="54"/>
      <c r="P306" s="54"/>
      <c r="Q306" s="54"/>
      <c r="R306" s="54"/>
      <c r="S306" s="54"/>
      <c r="T306" s="54"/>
      <c r="U306" s="54"/>
      <c r="W306" s="54"/>
      <c r="X306" s="71"/>
    </row>
    <row r="307" spans="4:24" ht="12.75">
      <c r="D307" s="73"/>
      <c r="K307" s="54"/>
      <c r="L307" s="54"/>
      <c r="M307" s="140"/>
      <c r="N307" s="54"/>
      <c r="O307" s="54"/>
      <c r="P307" s="54"/>
      <c r="Q307" s="54"/>
      <c r="R307" s="54"/>
      <c r="S307" s="54"/>
      <c r="T307" s="54"/>
      <c r="U307" s="54"/>
      <c r="W307" s="54"/>
      <c r="X307" s="71"/>
    </row>
    <row r="308" spans="4:24" ht="12.75">
      <c r="D308" s="73"/>
      <c r="K308" s="54"/>
      <c r="L308" s="54"/>
      <c r="M308" s="140"/>
      <c r="N308" s="54"/>
      <c r="O308" s="54"/>
      <c r="P308" s="54"/>
      <c r="Q308" s="54"/>
      <c r="R308" s="54"/>
      <c r="S308" s="54"/>
      <c r="T308" s="54"/>
      <c r="U308" s="54"/>
      <c r="W308" s="54"/>
      <c r="X308" s="71"/>
    </row>
    <row r="309" spans="4:24" ht="12.75">
      <c r="D309" s="73"/>
      <c r="K309" s="54"/>
      <c r="L309" s="54"/>
      <c r="M309" s="140"/>
      <c r="N309" s="54"/>
      <c r="O309" s="54"/>
      <c r="P309" s="54"/>
      <c r="Q309" s="54"/>
      <c r="R309" s="54"/>
      <c r="S309" s="54"/>
      <c r="T309" s="54"/>
      <c r="U309" s="54"/>
      <c r="W309" s="54"/>
      <c r="X309" s="71"/>
    </row>
    <row r="310" spans="4:24" ht="12.75">
      <c r="D310" s="73"/>
      <c r="K310" s="54"/>
      <c r="L310" s="54"/>
      <c r="M310" s="140"/>
      <c r="N310" s="54"/>
      <c r="O310" s="54"/>
      <c r="P310" s="54"/>
      <c r="Q310" s="54"/>
      <c r="R310" s="54"/>
      <c r="S310" s="54"/>
      <c r="T310" s="54"/>
      <c r="U310" s="54"/>
      <c r="W310" s="54"/>
      <c r="X310" s="71"/>
    </row>
    <row r="311" spans="4:24" ht="12.75">
      <c r="D311" s="73"/>
      <c r="K311" s="54"/>
      <c r="L311" s="54"/>
      <c r="M311" s="140"/>
      <c r="N311" s="54"/>
      <c r="O311" s="54"/>
      <c r="P311" s="54"/>
      <c r="Q311" s="54"/>
      <c r="R311" s="54"/>
      <c r="S311" s="54"/>
      <c r="T311" s="54"/>
      <c r="U311" s="54"/>
      <c r="W311" s="54"/>
      <c r="X311" s="71"/>
    </row>
    <row r="312" spans="4:24" ht="12.75">
      <c r="D312" s="73"/>
      <c r="K312" s="54"/>
      <c r="L312" s="54"/>
      <c r="M312" s="140"/>
      <c r="N312" s="54"/>
      <c r="O312" s="54"/>
      <c r="P312" s="54"/>
      <c r="Q312" s="54"/>
      <c r="R312" s="54"/>
      <c r="S312" s="54"/>
      <c r="T312" s="54"/>
      <c r="U312" s="54"/>
      <c r="W312" s="54"/>
      <c r="X312" s="71"/>
    </row>
    <row r="313" spans="4:24" ht="12.75">
      <c r="D313" s="73"/>
      <c r="K313" s="54"/>
      <c r="L313" s="54"/>
      <c r="M313" s="140"/>
      <c r="N313" s="54"/>
      <c r="O313" s="54"/>
      <c r="P313" s="54"/>
      <c r="Q313" s="54"/>
      <c r="R313" s="54"/>
      <c r="S313" s="54"/>
      <c r="T313" s="54"/>
      <c r="U313" s="54"/>
      <c r="W313" s="54"/>
      <c r="X313" s="71"/>
    </row>
    <row r="314" spans="4:24" ht="12.75">
      <c r="D314" s="73"/>
      <c r="K314" s="54"/>
      <c r="L314" s="54"/>
      <c r="M314" s="140"/>
      <c r="N314" s="54"/>
      <c r="O314" s="54"/>
      <c r="P314" s="54"/>
      <c r="Q314" s="54"/>
      <c r="R314" s="54"/>
      <c r="S314" s="54"/>
      <c r="T314" s="54"/>
      <c r="U314" s="54"/>
      <c r="W314" s="54"/>
      <c r="X314" s="71"/>
    </row>
    <row r="315" spans="4:24" ht="12.75">
      <c r="D315" s="73"/>
      <c r="K315" s="54"/>
      <c r="L315" s="54"/>
      <c r="M315" s="140"/>
      <c r="N315" s="54"/>
      <c r="O315" s="54"/>
      <c r="P315" s="54"/>
      <c r="Q315" s="54"/>
      <c r="R315" s="54"/>
      <c r="S315" s="54"/>
      <c r="T315" s="54"/>
      <c r="U315" s="54"/>
      <c r="W315" s="54"/>
      <c r="X315" s="71"/>
    </row>
    <row r="316" spans="4:24" ht="12.75">
      <c r="D316" s="73"/>
      <c r="K316" s="54"/>
      <c r="L316" s="54"/>
      <c r="M316" s="140"/>
      <c r="N316" s="54"/>
      <c r="O316" s="54"/>
      <c r="P316" s="54"/>
      <c r="Q316" s="54"/>
      <c r="R316" s="54"/>
      <c r="S316" s="54"/>
      <c r="T316" s="54"/>
      <c r="U316" s="54"/>
      <c r="W316" s="54"/>
      <c r="X316" s="71"/>
    </row>
    <row r="317" spans="4:24" ht="12.75">
      <c r="D317" s="73"/>
      <c r="K317" s="54"/>
      <c r="L317" s="54"/>
      <c r="M317" s="140"/>
      <c r="N317" s="54"/>
      <c r="O317" s="54"/>
      <c r="P317" s="54"/>
      <c r="Q317" s="54"/>
      <c r="R317" s="54"/>
      <c r="S317" s="54"/>
      <c r="T317" s="54"/>
      <c r="U317" s="54"/>
      <c r="W317" s="54"/>
      <c r="X317" s="71"/>
    </row>
    <row r="318" spans="4:24" ht="12.75">
      <c r="D318" s="73"/>
      <c r="K318" s="54"/>
      <c r="L318" s="54"/>
      <c r="M318" s="140"/>
      <c r="N318" s="54"/>
      <c r="O318" s="54"/>
      <c r="P318" s="54"/>
      <c r="Q318" s="54"/>
      <c r="R318" s="54"/>
      <c r="S318" s="54"/>
      <c r="T318" s="54"/>
      <c r="U318" s="54"/>
      <c r="W318" s="54"/>
      <c r="X318" s="71"/>
    </row>
    <row r="319" spans="4:24" ht="12.75">
      <c r="D319" s="73"/>
      <c r="K319" s="54"/>
      <c r="L319" s="54"/>
      <c r="M319" s="140"/>
      <c r="N319" s="54"/>
      <c r="O319" s="54"/>
      <c r="P319" s="54"/>
      <c r="Q319" s="54"/>
      <c r="R319" s="54"/>
      <c r="S319" s="54"/>
      <c r="T319" s="54"/>
      <c r="U319" s="54"/>
      <c r="W319" s="54"/>
      <c r="X319" s="71"/>
    </row>
    <row r="320" spans="4:24" ht="12.75">
      <c r="D320" s="73"/>
      <c r="K320" s="54"/>
      <c r="L320" s="54"/>
      <c r="M320" s="140"/>
      <c r="N320" s="54"/>
      <c r="O320" s="54"/>
      <c r="P320" s="54"/>
      <c r="Q320" s="54"/>
      <c r="R320" s="54"/>
      <c r="S320" s="54"/>
      <c r="T320" s="54"/>
      <c r="U320" s="54"/>
      <c r="W320" s="54"/>
      <c r="X320" s="71"/>
    </row>
    <row r="321" spans="4:24" ht="12.75">
      <c r="D321" s="73"/>
      <c r="K321" s="54"/>
      <c r="L321" s="54"/>
      <c r="M321" s="140"/>
      <c r="N321" s="54"/>
      <c r="O321" s="54"/>
      <c r="P321" s="54"/>
      <c r="Q321" s="54"/>
      <c r="R321" s="54"/>
      <c r="S321" s="54"/>
      <c r="T321" s="54"/>
      <c r="U321" s="54"/>
      <c r="W321" s="54"/>
      <c r="X321" s="71"/>
    </row>
    <row r="322" spans="4:24" ht="12.75">
      <c r="D322" s="73"/>
      <c r="K322" s="54"/>
      <c r="L322" s="54"/>
      <c r="M322" s="140"/>
      <c r="N322" s="54"/>
      <c r="O322" s="54"/>
      <c r="P322" s="54"/>
      <c r="Q322" s="54"/>
      <c r="R322" s="54"/>
      <c r="S322" s="54"/>
      <c r="T322" s="54"/>
      <c r="U322" s="54"/>
      <c r="W322" s="54"/>
      <c r="X322" s="71"/>
    </row>
    <row r="323" spans="4:24" ht="12.75">
      <c r="D323" s="73"/>
      <c r="K323" s="54"/>
      <c r="L323" s="54"/>
      <c r="M323" s="140"/>
      <c r="N323" s="54"/>
      <c r="O323" s="54"/>
      <c r="P323" s="54"/>
      <c r="Q323" s="54"/>
      <c r="R323" s="54"/>
      <c r="S323" s="54"/>
      <c r="T323" s="54"/>
      <c r="U323" s="54"/>
      <c r="W323" s="54"/>
      <c r="X323" s="71"/>
    </row>
    <row r="324" spans="4:24" ht="12.75">
      <c r="D324" s="73"/>
      <c r="K324" s="54"/>
      <c r="L324" s="54"/>
      <c r="M324" s="140"/>
      <c r="N324" s="54"/>
      <c r="O324" s="54"/>
      <c r="P324" s="54"/>
      <c r="Q324" s="54"/>
      <c r="R324" s="54"/>
      <c r="S324" s="54"/>
      <c r="T324" s="54"/>
      <c r="U324" s="54"/>
      <c r="W324" s="54"/>
      <c r="X324" s="71"/>
    </row>
    <row r="325" spans="4:24" ht="12.75">
      <c r="D325" s="73"/>
      <c r="K325" s="54"/>
      <c r="L325" s="54"/>
      <c r="M325" s="140"/>
      <c r="N325" s="54"/>
      <c r="O325" s="54"/>
      <c r="P325" s="54"/>
      <c r="Q325" s="54"/>
      <c r="R325" s="54"/>
      <c r="S325" s="54"/>
      <c r="T325" s="54"/>
      <c r="U325" s="54"/>
      <c r="W325" s="54"/>
      <c r="X325" s="71"/>
    </row>
    <row r="326" spans="4:24" ht="12.75">
      <c r="D326" s="73"/>
      <c r="K326" s="54"/>
      <c r="L326" s="54"/>
      <c r="M326" s="140"/>
      <c r="N326" s="54"/>
      <c r="O326" s="54"/>
      <c r="P326" s="54"/>
      <c r="Q326" s="54"/>
      <c r="R326" s="54"/>
      <c r="S326" s="54"/>
      <c r="T326" s="54"/>
      <c r="U326" s="54"/>
      <c r="W326" s="54"/>
      <c r="X326" s="71"/>
    </row>
    <row r="327" spans="4:24" ht="12.75">
      <c r="D327" s="73"/>
      <c r="K327" s="54"/>
      <c r="L327" s="54"/>
      <c r="M327" s="140"/>
      <c r="N327" s="54"/>
      <c r="O327" s="54"/>
      <c r="P327" s="54"/>
      <c r="Q327" s="54"/>
      <c r="R327" s="54"/>
      <c r="S327" s="54"/>
      <c r="T327" s="54"/>
      <c r="U327" s="54"/>
      <c r="W327" s="54"/>
      <c r="X327" s="71"/>
    </row>
    <row r="328" spans="4:24" ht="12.75">
      <c r="D328" s="73"/>
      <c r="K328" s="54"/>
      <c r="L328" s="54"/>
      <c r="M328" s="140"/>
      <c r="N328" s="54"/>
      <c r="O328" s="54"/>
      <c r="P328" s="54"/>
      <c r="Q328" s="54"/>
      <c r="R328" s="54"/>
      <c r="S328" s="54"/>
      <c r="T328" s="54"/>
      <c r="U328" s="54"/>
      <c r="W328" s="54"/>
      <c r="X328" s="71"/>
    </row>
    <row r="329" spans="4:24" ht="12.75">
      <c r="D329" s="73"/>
      <c r="K329" s="54"/>
      <c r="L329" s="54"/>
      <c r="M329" s="140"/>
      <c r="N329" s="54"/>
      <c r="O329" s="54"/>
      <c r="P329" s="54"/>
      <c r="Q329" s="54"/>
      <c r="R329" s="54"/>
      <c r="S329" s="54"/>
      <c r="T329" s="54"/>
      <c r="U329" s="54"/>
      <c r="W329" s="54"/>
      <c r="X329" s="71"/>
    </row>
    <row r="330" spans="4:24" ht="12.75">
      <c r="D330" s="73"/>
      <c r="K330" s="54"/>
      <c r="L330" s="54"/>
      <c r="M330" s="140"/>
      <c r="N330" s="54"/>
      <c r="O330" s="54"/>
      <c r="P330" s="54"/>
      <c r="Q330" s="54"/>
      <c r="R330" s="54"/>
      <c r="S330" s="54"/>
      <c r="T330" s="54"/>
      <c r="U330" s="54"/>
      <c r="W330" s="54"/>
      <c r="X330" s="71"/>
    </row>
    <row r="331" spans="4:24" ht="12.75">
      <c r="D331" s="73"/>
      <c r="K331" s="54"/>
      <c r="L331" s="54"/>
      <c r="M331" s="140"/>
      <c r="N331" s="54"/>
      <c r="O331" s="54"/>
      <c r="P331" s="54"/>
      <c r="Q331" s="54"/>
      <c r="R331" s="54"/>
      <c r="S331" s="54"/>
      <c r="T331" s="54"/>
      <c r="U331" s="54"/>
      <c r="W331" s="54"/>
      <c r="X331" s="71"/>
    </row>
    <row r="332" spans="4:24" ht="12.75">
      <c r="D332" s="73"/>
      <c r="K332" s="54"/>
      <c r="L332" s="54"/>
      <c r="M332" s="140"/>
      <c r="N332" s="54"/>
      <c r="O332" s="54"/>
      <c r="P332" s="54"/>
      <c r="Q332" s="54"/>
      <c r="R332" s="54"/>
      <c r="S332" s="54"/>
      <c r="T332" s="54"/>
      <c r="U332" s="54"/>
      <c r="W332" s="54"/>
      <c r="X332" s="71"/>
    </row>
    <row r="333" spans="4:24" ht="12.75">
      <c r="D333" s="73"/>
      <c r="K333" s="54"/>
      <c r="L333" s="54"/>
      <c r="M333" s="140"/>
      <c r="N333" s="54"/>
      <c r="O333" s="54"/>
      <c r="P333" s="54"/>
      <c r="Q333" s="54"/>
      <c r="R333" s="54"/>
      <c r="S333" s="54"/>
      <c r="T333" s="54"/>
      <c r="U333" s="54"/>
      <c r="W333" s="54"/>
      <c r="X333" s="71"/>
    </row>
    <row r="334" spans="4:24" ht="12.75">
      <c r="D334" s="73"/>
      <c r="K334" s="54"/>
      <c r="L334" s="54"/>
      <c r="M334" s="140"/>
      <c r="N334" s="54"/>
      <c r="O334" s="54"/>
      <c r="P334" s="54"/>
      <c r="Q334" s="54"/>
      <c r="R334" s="54"/>
      <c r="S334" s="54"/>
      <c r="T334" s="54"/>
      <c r="U334" s="54"/>
      <c r="W334" s="54"/>
      <c r="X334" s="71"/>
    </row>
    <row r="335" spans="4:24" ht="12.75">
      <c r="D335" s="73"/>
      <c r="X335" s="73"/>
    </row>
    <row r="336" spans="4:24" ht="12.75">
      <c r="D336" s="73"/>
      <c r="X336" s="73"/>
    </row>
    <row r="337" spans="4:24" ht="12.75">
      <c r="D337" s="73"/>
      <c r="X337" s="73"/>
    </row>
    <row r="338" spans="4:24" ht="12.75">
      <c r="D338" s="73"/>
      <c r="X338" s="73"/>
    </row>
    <row r="339" spans="4:24" ht="12.75">
      <c r="D339" s="73"/>
      <c r="X339" s="73"/>
    </row>
    <row r="340" spans="4:24" ht="12.75">
      <c r="D340" s="73"/>
      <c r="X340" s="73"/>
    </row>
    <row r="341" spans="4:24" ht="12.75">
      <c r="D341" s="73"/>
      <c r="X341" s="73"/>
    </row>
    <row r="342" spans="4:24" ht="12.75">
      <c r="D342" s="73"/>
      <c r="X342" s="73"/>
    </row>
    <row r="343" spans="4:24" ht="12.75">
      <c r="D343" s="73"/>
      <c r="X343" s="73"/>
    </row>
    <row r="344" spans="4:24" ht="12.75">
      <c r="D344" s="73"/>
      <c r="X344" s="73"/>
    </row>
    <row r="345" spans="4:24" ht="12.75">
      <c r="D345" s="73"/>
      <c r="X345" s="73"/>
    </row>
    <row r="346" spans="4:24" ht="12.75">
      <c r="D346" s="73"/>
      <c r="X346" s="73"/>
    </row>
    <row r="347" spans="4:24" ht="12.75">
      <c r="D347" s="73"/>
      <c r="X347" s="73"/>
    </row>
    <row r="348" spans="4:24" ht="12.75">
      <c r="D348" s="73"/>
      <c r="X348" s="73"/>
    </row>
  </sheetData>
  <mergeCells count="3">
    <mergeCell ref="AB1:AB61"/>
    <mergeCell ref="V1:V61"/>
    <mergeCell ref="A1:A61"/>
  </mergeCells>
  <printOptions/>
  <pageMargins left="1.1811023622047245" right="1.1023622047244095" top="0.984251968503937" bottom="0.984251968503937" header="0.3937007874015748" footer="0"/>
  <pageSetup horizontalDpi="600" verticalDpi="600" orientation="portrait" paperSize="8" scale="85" r:id="rId1"/>
  <rowBreaks count="1" manualBreakCount="1">
    <brk id="117" max="255" man="1"/>
  </rowBreaks>
  <colBreaks count="3" manualBreakCount="3">
    <brk id="21" max="65535" man="1"/>
    <brk id="27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6"/>
  <dimension ref="A1:Y37"/>
  <sheetViews>
    <sheetView zoomScale="85" zoomScaleNormal="85" workbookViewId="0" topLeftCell="E1">
      <selection activeCell="E17" sqref="E17:E23"/>
    </sheetView>
  </sheetViews>
  <sheetFormatPr defaultColWidth="9.140625" defaultRowHeight="12.75"/>
  <cols>
    <col min="1" max="1" width="16.421875" style="0" bestFit="1" customWidth="1"/>
    <col min="2" max="2" width="37.8515625" style="0" bestFit="1" customWidth="1"/>
    <col min="3" max="3" width="20.421875" style="0" bestFit="1" customWidth="1"/>
    <col min="4" max="4" width="33.28125" style="0" bestFit="1" customWidth="1"/>
    <col min="5" max="5" width="24.7109375" style="0" bestFit="1" customWidth="1"/>
    <col min="6" max="6" width="33.7109375" style="0" bestFit="1" customWidth="1"/>
    <col min="7" max="7" width="14.28125" style="0" bestFit="1" customWidth="1"/>
    <col min="8" max="8" width="15.421875" style="0" bestFit="1" customWidth="1"/>
    <col min="9" max="9" width="10.00390625" style="0" customWidth="1"/>
    <col min="10" max="10" width="22.00390625" style="0" bestFit="1" customWidth="1"/>
    <col min="11" max="11" width="18.00390625" style="0" customWidth="1"/>
    <col min="12" max="12" width="20.421875" style="0" bestFit="1" customWidth="1"/>
    <col min="13" max="13" width="17.7109375" style="0" customWidth="1"/>
    <col min="14" max="14" width="24.7109375" style="0" bestFit="1" customWidth="1"/>
    <col min="15" max="15" width="11.7109375" style="0" bestFit="1" customWidth="1"/>
    <col min="16" max="16" width="14.28125" style="0" bestFit="1" customWidth="1"/>
    <col min="17" max="17" width="15.421875" style="0" customWidth="1"/>
    <col min="18" max="18" width="6.421875" style="0" bestFit="1" customWidth="1"/>
    <col min="19" max="19" width="14.140625" style="0" bestFit="1" customWidth="1"/>
    <col min="20" max="23" width="9.140625" style="0" hidden="1" customWidth="1"/>
    <col min="24" max="24" width="15.28125" style="0" hidden="1" customWidth="1"/>
  </cols>
  <sheetData>
    <row r="1" spans="1:24" ht="12.75">
      <c r="A1" s="232" t="s">
        <v>149</v>
      </c>
      <c r="B1" s="233"/>
      <c r="C1" s="233"/>
      <c r="D1" s="233"/>
      <c r="E1" s="233"/>
      <c r="F1" s="233"/>
      <c r="G1" s="233"/>
      <c r="H1" s="233"/>
      <c r="I1" s="233"/>
      <c r="J1" s="234"/>
      <c r="K1" s="215"/>
      <c r="L1" s="215"/>
      <c r="M1" s="215"/>
      <c r="N1" s="215"/>
      <c r="O1" s="215"/>
      <c r="P1" s="215"/>
      <c r="Q1" s="215"/>
      <c r="R1" s="215"/>
      <c r="S1" s="215"/>
      <c r="T1" s="211"/>
      <c r="U1" s="211"/>
      <c r="V1" s="211"/>
      <c r="W1" s="211"/>
      <c r="X1" s="211"/>
    </row>
    <row r="2" spans="1:24" ht="12.75">
      <c r="A2" s="47" t="s">
        <v>0</v>
      </c>
      <c r="B2" s="47" t="s">
        <v>70</v>
      </c>
      <c r="C2" s="47" t="s">
        <v>71</v>
      </c>
      <c r="D2" s="47" t="s">
        <v>72</v>
      </c>
      <c r="E2" s="47" t="s">
        <v>74</v>
      </c>
      <c r="F2" s="47" t="s">
        <v>73</v>
      </c>
      <c r="G2" s="47" t="s">
        <v>75</v>
      </c>
      <c r="H2" s="47" t="s">
        <v>76</v>
      </c>
      <c r="I2" s="47" t="s">
        <v>77</v>
      </c>
      <c r="J2" s="47" t="s">
        <v>78</v>
      </c>
      <c r="X2" s="157" t="s">
        <v>144</v>
      </c>
    </row>
    <row r="3" spans="1:24" ht="12.75">
      <c r="A3" s="7" t="s">
        <v>2</v>
      </c>
      <c r="B3" s="18">
        <v>916.8518518518518</v>
      </c>
      <c r="C3" s="18">
        <v>212.62962962962965</v>
      </c>
      <c r="D3" s="18">
        <v>351.1111111111111</v>
      </c>
      <c r="E3" s="18">
        <v>113.83333333333334</v>
      </c>
      <c r="F3" s="18">
        <v>170.14814814814815</v>
      </c>
      <c r="G3" s="18">
        <v>1764.574074074074</v>
      </c>
      <c r="H3" s="29">
        <f aca="true" t="shared" si="0" ref="H3:H8">90*G3</f>
        <v>158811.66666666666</v>
      </c>
      <c r="I3" s="24">
        <f aca="true" t="shared" si="1" ref="I3:I8">H3/60</f>
        <v>2646.861111111111</v>
      </c>
      <c r="J3" s="29">
        <f aca="true" t="shared" si="2" ref="J3:J8">1760*60</f>
        <v>105600</v>
      </c>
      <c r="T3">
        <f>(U3+V3)*80*44/H11</f>
        <v>72160</v>
      </c>
      <c r="U3">
        <v>23</v>
      </c>
      <c r="V3">
        <v>18</v>
      </c>
      <c r="X3" s="213">
        <f aca="true" t="shared" si="3" ref="X3:X8">T3/J3</f>
        <v>0.6833333333333333</v>
      </c>
    </row>
    <row r="4" spans="1:25" ht="12.75">
      <c r="A4" s="7" t="s">
        <v>5</v>
      </c>
      <c r="B4" s="18">
        <v>486.9259259259259</v>
      </c>
      <c r="C4" s="18">
        <v>410.5185185185185</v>
      </c>
      <c r="D4" s="18">
        <v>214.3888888888889</v>
      </c>
      <c r="E4" s="18">
        <v>44</v>
      </c>
      <c r="F4" s="18">
        <v>173.22222222222223</v>
      </c>
      <c r="G4" s="18">
        <v>1329.0555555555554</v>
      </c>
      <c r="H4" s="29">
        <f t="shared" si="0"/>
        <v>119614.99999999999</v>
      </c>
      <c r="I4" s="24">
        <f t="shared" si="1"/>
        <v>1993.583333333333</v>
      </c>
      <c r="J4" s="29">
        <f t="shared" si="2"/>
        <v>105600</v>
      </c>
      <c r="T4">
        <f>(U4+V4)*80*44/H12</f>
        <v>56320</v>
      </c>
      <c r="U4">
        <v>15</v>
      </c>
      <c r="V4">
        <v>17</v>
      </c>
      <c r="X4" s="213">
        <f t="shared" si="3"/>
        <v>0.5333333333333333</v>
      </c>
      <c r="Y4" s="214"/>
    </row>
    <row r="5" spans="1:25" ht="12.75">
      <c r="A5" s="7" t="s">
        <v>7</v>
      </c>
      <c r="B5" s="18">
        <v>1312.425925925926</v>
      </c>
      <c r="C5" s="18">
        <v>472.0925925925926</v>
      </c>
      <c r="D5" s="18">
        <v>241.03703703703704</v>
      </c>
      <c r="E5" s="18">
        <v>162.16666666666669</v>
      </c>
      <c r="F5" s="18">
        <v>172.6111111111111</v>
      </c>
      <c r="G5" s="18">
        <v>2360.333333333333</v>
      </c>
      <c r="H5" s="29">
        <f t="shared" si="0"/>
        <v>212429.99999999997</v>
      </c>
      <c r="I5" s="24">
        <f t="shared" si="1"/>
        <v>3540.4999999999995</v>
      </c>
      <c r="J5" s="29">
        <f t="shared" si="2"/>
        <v>105600</v>
      </c>
      <c r="T5" s="15">
        <f>(U5+V5+W5)*80*44/H13</f>
        <v>65706.66666666667</v>
      </c>
      <c r="U5">
        <v>19</v>
      </c>
      <c r="V5">
        <v>20</v>
      </c>
      <c r="W5">
        <v>17</v>
      </c>
      <c r="X5" s="213">
        <f t="shared" si="3"/>
        <v>0.6222222222222222</v>
      </c>
      <c r="Y5" s="214"/>
    </row>
    <row r="6" spans="1:25" ht="12.75">
      <c r="A6" s="7" t="s">
        <v>9</v>
      </c>
      <c r="B6" s="18">
        <v>1122.1666666666667</v>
      </c>
      <c r="C6" s="18">
        <v>351</v>
      </c>
      <c r="D6" s="18">
        <v>335.66666666666663</v>
      </c>
      <c r="E6" s="18">
        <v>145.2962962962963</v>
      </c>
      <c r="F6" s="18">
        <v>186.94444444444446</v>
      </c>
      <c r="G6" s="18">
        <v>2141.0740740740744</v>
      </c>
      <c r="H6" s="29">
        <f t="shared" si="0"/>
        <v>192696.6666666667</v>
      </c>
      <c r="I6" s="24">
        <f t="shared" si="1"/>
        <v>3211.6111111111113</v>
      </c>
      <c r="J6" s="29">
        <f t="shared" si="2"/>
        <v>105600</v>
      </c>
      <c r="T6">
        <f>(U6+V6)*80*44/H14</f>
        <v>80960</v>
      </c>
      <c r="U6">
        <v>26</v>
      </c>
      <c r="V6">
        <v>20</v>
      </c>
      <c r="X6" s="213">
        <f t="shared" si="3"/>
        <v>0.7666666666666667</v>
      </c>
      <c r="Y6" s="214"/>
    </row>
    <row r="7" spans="1:25" ht="12.75">
      <c r="A7" s="76" t="s">
        <v>11</v>
      </c>
      <c r="B7" s="18">
        <v>490.53703703703707</v>
      </c>
      <c r="C7" s="18">
        <v>125.05555555555556</v>
      </c>
      <c r="D7" s="18">
        <v>144.01851851851853</v>
      </c>
      <c r="E7" s="18">
        <v>108.83333333333334</v>
      </c>
      <c r="F7" s="18">
        <v>86.92592592592592</v>
      </c>
      <c r="G7" s="18">
        <v>955.3703703703704</v>
      </c>
      <c r="H7" s="29">
        <f t="shared" si="0"/>
        <v>85983.33333333334</v>
      </c>
      <c r="I7" s="24">
        <f t="shared" si="1"/>
        <v>1433.0555555555557</v>
      </c>
      <c r="J7" s="29">
        <f t="shared" si="2"/>
        <v>105600</v>
      </c>
      <c r="T7">
        <f>(U7+V7)*80*44</f>
        <v>77440</v>
      </c>
      <c r="U7">
        <v>22</v>
      </c>
      <c r="X7" s="213">
        <f t="shared" si="3"/>
        <v>0.7333333333333333</v>
      </c>
      <c r="Y7" s="214"/>
    </row>
    <row r="8" spans="1:25" ht="12.75">
      <c r="A8" s="7" t="s">
        <v>13</v>
      </c>
      <c r="B8" s="18">
        <v>408.2037037037037</v>
      </c>
      <c r="C8" s="18">
        <v>157.44444444444446</v>
      </c>
      <c r="D8" s="18">
        <v>231.33333333333331</v>
      </c>
      <c r="E8" s="18">
        <v>71.40740740740742</v>
      </c>
      <c r="F8" s="18">
        <v>118.96296296296296</v>
      </c>
      <c r="G8" s="18">
        <v>987.3518518518518</v>
      </c>
      <c r="H8" s="29">
        <f t="shared" si="0"/>
        <v>88861.66666666667</v>
      </c>
      <c r="I8" s="24">
        <f t="shared" si="1"/>
        <v>1481.0277777777778</v>
      </c>
      <c r="J8" s="29">
        <f t="shared" si="2"/>
        <v>105600</v>
      </c>
      <c r="T8">
        <f>(U8+V8)*80*44</f>
        <v>84480</v>
      </c>
      <c r="U8">
        <v>24</v>
      </c>
      <c r="X8" s="213">
        <f t="shared" si="3"/>
        <v>0.8</v>
      </c>
      <c r="Y8" s="214"/>
    </row>
    <row r="10" spans="2:10" ht="12.75">
      <c r="B10" s="48" t="s">
        <v>79</v>
      </c>
      <c r="C10" s="48" t="s">
        <v>108</v>
      </c>
      <c r="D10" s="49" t="s">
        <v>109</v>
      </c>
      <c r="E10" s="47" t="s">
        <v>80</v>
      </c>
      <c r="F10" s="27" t="s">
        <v>85</v>
      </c>
      <c r="G10" s="27" t="s">
        <v>86</v>
      </c>
      <c r="H10" s="49" t="s">
        <v>81</v>
      </c>
      <c r="I10" s="23" t="s">
        <v>107</v>
      </c>
      <c r="J10" s="23" t="s">
        <v>106</v>
      </c>
    </row>
    <row r="11" spans="2:10" ht="12.75">
      <c r="B11" s="45">
        <f aca="true" t="shared" si="4" ref="B11:B16">H3/J3</f>
        <v>1.5038983585858585</v>
      </c>
      <c r="C11" s="45">
        <f aca="true" t="shared" si="5" ref="C11:C16">B11-J11</f>
        <v>1.5038983585858585</v>
      </c>
      <c r="D11" s="30">
        <v>2</v>
      </c>
      <c r="E11" s="14">
        <v>4</v>
      </c>
      <c r="F11" s="31">
        <f aca="true" t="shared" si="6" ref="F11:F16">C11/D11</f>
        <v>0.7519491792929293</v>
      </c>
      <c r="G11" s="31">
        <f aca="true" t="shared" si="7" ref="G11:G16">B11/E11</f>
        <v>0.37597458964646463</v>
      </c>
      <c r="H11" s="30">
        <v>2</v>
      </c>
      <c r="I11" s="45">
        <f aca="true" t="shared" si="8" ref="I11:I16">H11-B11</f>
        <v>0.4961016414141415</v>
      </c>
      <c r="J11" s="29">
        <v>0</v>
      </c>
    </row>
    <row r="12" spans="2:10" ht="12.75">
      <c r="B12" s="45">
        <f t="shared" si="4"/>
        <v>1.132717803030303</v>
      </c>
      <c r="C12" s="45">
        <f t="shared" si="5"/>
        <v>1.3327178030303028</v>
      </c>
      <c r="D12" s="30">
        <v>2</v>
      </c>
      <c r="E12" s="14">
        <v>3</v>
      </c>
      <c r="F12" s="31">
        <f t="shared" si="6"/>
        <v>0.6663589015151514</v>
      </c>
      <c r="G12" s="31">
        <f t="shared" si="7"/>
        <v>0.377572601010101</v>
      </c>
      <c r="H12" s="30">
        <v>2</v>
      </c>
      <c r="I12" s="45">
        <f t="shared" si="8"/>
        <v>0.8672821969696971</v>
      </c>
      <c r="J12" s="29">
        <v>-0.2</v>
      </c>
    </row>
    <row r="13" spans="2:10" ht="12.75">
      <c r="B13" s="45">
        <f t="shared" si="4"/>
        <v>2.011647727272727</v>
      </c>
      <c r="C13" s="45">
        <f t="shared" si="5"/>
        <v>2.011647727272727</v>
      </c>
      <c r="D13" s="30">
        <v>3</v>
      </c>
      <c r="E13" s="14">
        <v>3</v>
      </c>
      <c r="F13" s="31">
        <f t="shared" si="6"/>
        <v>0.6705492424242423</v>
      </c>
      <c r="G13" s="31">
        <f t="shared" si="7"/>
        <v>0.6705492424242423</v>
      </c>
      <c r="H13" s="30">
        <v>3</v>
      </c>
      <c r="I13" s="45">
        <f t="shared" si="8"/>
        <v>0.9883522727272731</v>
      </c>
      <c r="J13" s="29">
        <v>0</v>
      </c>
    </row>
    <row r="14" spans="2:10" ht="12.75">
      <c r="B14" s="45">
        <f t="shared" si="4"/>
        <v>1.8247790404040405</v>
      </c>
      <c r="C14" s="45">
        <f t="shared" si="5"/>
        <v>1.8247790404040405</v>
      </c>
      <c r="D14" s="30">
        <v>2</v>
      </c>
      <c r="E14" s="14">
        <v>4</v>
      </c>
      <c r="F14" s="31">
        <f t="shared" si="6"/>
        <v>0.9123895202020202</v>
      </c>
      <c r="G14" s="31">
        <f t="shared" si="7"/>
        <v>0.4561947601010101</v>
      </c>
      <c r="H14" s="30">
        <v>2</v>
      </c>
      <c r="I14" s="45">
        <f t="shared" si="8"/>
        <v>0.1752209595959595</v>
      </c>
      <c r="J14" s="29">
        <v>0</v>
      </c>
    </row>
    <row r="15" spans="2:10" ht="12.75">
      <c r="B15" s="45">
        <f t="shared" si="4"/>
        <v>0.8142361111111112</v>
      </c>
      <c r="C15" s="45">
        <f t="shared" si="5"/>
        <v>0.8142361111111112</v>
      </c>
      <c r="D15" s="30">
        <v>1</v>
      </c>
      <c r="E15" s="14">
        <v>2</v>
      </c>
      <c r="F15" s="31">
        <f t="shared" si="6"/>
        <v>0.8142361111111112</v>
      </c>
      <c r="G15" s="31">
        <f t="shared" si="7"/>
        <v>0.4071180555555556</v>
      </c>
      <c r="H15" s="30">
        <v>1</v>
      </c>
      <c r="I15" s="45">
        <f t="shared" si="8"/>
        <v>0.18576388888888884</v>
      </c>
      <c r="J15" s="29">
        <v>0</v>
      </c>
    </row>
    <row r="16" spans="2:10" ht="12.75">
      <c r="B16" s="45">
        <f t="shared" si="4"/>
        <v>0.8414930555555556</v>
      </c>
      <c r="C16" s="45">
        <f t="shared" si="5"/>
        <v>0.6414930555555556</v>
      </c>
      <c r="D16" s="30">
        <v>1</v>
      </c>
      <c r="E16" s="14">
        <v>2</v>
      </c>
      <c r="F16" s="31">
        <f t="shared" si="6"/>
        <v>0.6414930555555556</v>
      </c>
      <c r="G16" s="31">
        <f t="shared" si="7"/>
        <v>0.4207465277777778</v>
      </c>
      <c r="H16" s="30">
        <v>1</v>
      </c>
      <c r="I16" s="45">
        <f t="shared" si="8"/>
        <v>0.15850694444444435</v>
      </c>
      <c r="J16" s="29">
        <f>-J12</f>
        <v>0.2</v>
      </c>
    </row>
    <row r="17" spans="2:8" ht="12.75">
      <c r="B17" s="27" t="s">
        <v>112</v>
      </c>
      <c r="D17" s="23" t="s">
        <v>115</v>
      </c>
      <c r="E17" s="19" t="s">
        <v>82</v>
      </c>
      <c r="F17" s="20"/>
      <c r="H17" s="30">
        <f>SUM(H11:H16)</f>
        <v>11</v>
      </c>
    </row>
    <row r="18" spans="2:6" ht="12.75">
      <c r="B18" s="28">
        <f aca="true" t="shared" si="9" ref="B18:B23">(D11-C11)*J3/60</f>
        <v>873.138888888889</v>
      </c>
      <c r="D18" s="26">
        <f aca="true" t="shared" si="10" ref="D18:D23">(E11-D11)*J3/60</f>
        <v>3520</v>
      </c>
      <c r="E18" s="218">
        <f aca="true" t="shared" si="11" ref="E18:E23">(E11-B11)*J3/60</f>
        <v>4393.13888888889</v>
      </c>
      <c r="F18" s="21"/>
    </row>
    <row r="19" spans="2:6" ht="12.75">
      <c r="B19" s="28">
        <f t="shared" si="9"/>
        <v>1174.416666666667</v>
      </c>
      <c r="D19" s="26">
        <f t="shared" si="10"/>
        <v>1760</v>
      </c>
      <c r="E19" s="218">
        <f t="shared" si="11"/>
        <v>3286.4166666666665</v>
      </c>
      <c r="F19" s="20"/>
    </row>
    <row r="20" spans="2:6" ht="12.75">
      <c r="B20" s="28">
        <f t="shared" si="9"/>
        <v>1739.5000000000007</v>
      </c>
      <c r="D20" s="26">
        <f t="shared" si="10"/>
        <v>0</v>
      </c>
      <c r="E20" s="218">
        <f t="shared" si="11"/>
        <v>1739.5000000000007</v>
      </c>
      <c r="F20" s="20"/>
    </row>
    <row r="21" spans="2:6" ht="12.75">
      <c r="B21" s="28">
        <f t="shared" si="9"/>
        <v>308.38888888888874</v>
      </c>
      <c r="D21" s="26">
        <f t="shared" si="10"/>
        <v>3520</v>
      </c>
      <c r="E21" s="218">
        <f t="shared" si="11"/>
        <v>3828.3888888888887</v>
      </c>
      <c r="F21" s="20"/>
    </row>
    <row r="22" spans="2:6" ht="12.75">
      <c r="B22" s="28">
        <f t="shared" si="9"/>
        <v>326.94444444444434</v>
      </c>
      <c r="D22" s="26">
        <f t="shared" si="10"/>
        <v>1760</v>
      </c>
      <c r="E22" s="218">
        <f t="shared" si="11"/>
        <v>2086.9444444444443</v>
      </c>
      <c r="F22" s="20"/>
    </row>
    <row r="23" spans="2:6" ht="12.75">
      <c r="B23" s="28">
        <f t="shared" si="9"/>
        <v>630.9722222222222</v>
      </c>
      <c r="D23" s="26">
        <f t="shared" si="10"/>
        <v>1760</v>
      </c>
      <c r="E23" s="218">
        <f t="shared" si="11"/>
        <v>2038.9722222222222</v>
      </c>
      <c r="F23" s="20"/>
    </row>
    <row r="24" spans="2:8" ht="12.75">
      <c r="B24" s="27" t="s">
        <v>113</v>
      </c>
      <c r="D24" s="23" t="s">
        <v>116</v>
      </c>
      <c r="E24" s="19" t="s">
        <v>83</v>
      </c>
      <c r="F24" s="47" t="s">
        <v>118</v>
      </c>
      <c r="G24" s="54"/>
      <c r="H24" s="54"/>
    </row>
    <row r="25" spans="2:6" ht="12.75">
      <c r="B25" s="28">
        <f aca="true" t="shared" si="12" ref="B25:B30">B18/8</f>
        <v>109.14236111111113</v>
      </c>
      <c r="D25" s="26">
        <f aca="true" t="shared" si="13" ref="D25:E30">D18/4</f>
        <v>880</v>
      </c>
      <c r="E25" s="66">
        <f t="shared" si="13"/>
        <v>1098.2847222222224</v>
      </c>
      <c r="F25" s="25">
        <f aca="true" t="shared" si="14" ref="F25:F30">E25/E11</f>
        <v>274.5711805555556</v>
      </c>
    </row>
    <row r="26" spans="2:6" ht="12.75">
      <c r="B26" s="28">
        <f t="shared" si="12"/>
        <v>146.80208333333337</v>
      </c>
      <c r="D26" s="26">
        <f t="shared" si="13"/>
        <v>440</v>
      </c>
      <c r="E26" s="66">
        <f t="shared" si="13"/>
        <v>821.6041666666666</v>
      </c>
      <c r="F26" s="25">
        <f t="shared" si="14"/>
        <v>273.86805555555554</v>
      </c>
    </row>
    <row r="27" spans="2:6" ht="12.75">
      <c r="B27" s="28">
        <f t="shared" si="12"/>
        <v>217.43750000000009</v>
      </c>
      <c r="D27" s="26">
        <f t="shared" si="13"/>
        <v>0</v>
      </c>
      <c r="E27" s="66">
        <f t="shared" si="13"/>
        <v>434.87500000000017</v>
      </c>
      <c r="F27" s="25">
        <f t="shared" si="14"/>
        <v>144.9583333333334</v>
      </c>
    </row>
    <row r="28" spans="2:6" ht="12.75">
      <c r="B28" s="28">
        <f t="shared" si="12"/>
        <v>38.54861111111109</v>
      </c>
      <c r="D28" s="26">
        <f t="shared" si="13"/>
        <v>880</v>
      </c>
      <c r="E28" s="66">
        <f t="shared" si="13"/>
        <v>957.0972222222222</v>
      </c>
      <c r="F28" s="25">
        <f t="shared" si="14"/>
        <v>239.27430555555554</v>
      </c>
    </row>
    <row r="29" spans="2:6" ht="12.75">
      <c r="B29" s="28">
        <f t="shared" si="12"/>
        <v>40.86805555555554</v>
      </c>
      <c r="D29" s="26">
        <f t="shared" si="13"/>
        <v>440</v>
      </c>
      <c r="E29" s="66">
        <f t="shared" si="13"/>
        <v>521.7361111111111</v>
      </c>
      <c r="F29" s="25">
        <f t="shared" si="14"/>
        <v>260.86805555555554</v>
      </c>
    </row>
    <row r="30" spans="2:6" ht="12.75">
      <c r="B30" s="28">
        <f t="shared" si="12"/>
        <v>78.87152777777777</v>
      </c>
      <c r="D30" s="26">
        <f t="shared" si="13"/>
        <v>440</v>
      </c>
      <c r="E30" s="66">
        <f t="shared" si="13"/>
        <v>509.74305555555554</v>
      </c>
      <c r="F30" s="25">
        <f t="shared" si="14"/>
        <v>254.87152777777777</v>
      </c>
    </row>
    <row r="31" spans="2:6" ht="12.75">
      <c r="B31" s="27" t="s">
        <v>114</v>
      </c>
      <c r="D31" s="23" t="s">
        <v>117</v>
      </c>
      <c r="E31" s="19" t="s">
        <v>84</v>
      </c>
      <c r="F31" s="217"/>
    </row>
    <row r="32" spans="2:6" ht="12.75">
      <c r="B32" s="28">
        <f aca="true" t="shared" si="15" ref="B32:B37">B25/D11</f>
        <v>54.571180555555564</v>
      </c>
      <c r="D32" s="26">
        <f aca="true" t="shared" si="16" ref="D32:D37">D25/D11</f>
        <v>440</v>
      </c>
      <c r="E32" s="216">
        <f aca="true" t="shared" si="17" ref="E32:E37">SUM(B32:D32)</f>
        <v>494.57118055555554</v>
      </c>
      <c r="F32" s="21"/>
    </row>
    <row r="33" spans="2:6" ht="12.75">
      <c r="B33" s="28">
        <f t="shared" si="15"/>
        <v>73.40104166666669</v>
      </c>
      <c r="D33" s="26">
        <f t="shared" si="16"/>
        <v>220</v>
      </c>
      <c r="E33" s="26">
        <f t="shared" si="17"/>
        <v>293.4010416666667</v>
      </c>
      <c r="F33" s="20"/>
    </row>
    <row r="34" spans="2:6" ht="12.75">
      <c r="B34" s="28">
        <f t="shared" si="15"/>
        <v>72.4791666666667</v>
      </c>
      <c r="D34" s="26">
        <f t="shared" si="16"/>
        <v>0</v>
      </c>
      <c r="E34" s="26">
        <f t="shared" si="17"/>
        <v>72.4791666666667</v>
      </c>
      <c r="F34" s="20"/>
    </row>
    <row r="35" spans="2:6" ht="12.75">
      <c r="B35" s="28">
        <f t="shared" si="15"/>
        <v>19.274305555555546</v>
      </c>
      <c r="D35" s="26">
        <f t="shared" si="16"/>
        <v>440</v>
      </c>
      <c r="E35" s="26">
        <f t="shared" si="17"/>
        <v>459.27430555555554</v>
      </c>
      <c r="F35" s="20"/>
    </row>
    <row r="36" spans="2:6" ht="12.75">
      <c r="B36" s="28">
        <f t="shared" si="15"/>
        <v>40.86805555555554</v>
      </c>
      <c r="D36" s="26">
        <f t="shared" si="16"/>
        <v>440</v>
      </c>
      <c r="E36" s="26">
        <f t="shared" si="17"/>
        <v>480.86805555555554</v>
      </c>
      <c r="F36" s="20"/>
    </row>
    <row r="37" spans="2:6" ht="12.75">
      <c r="B37" s="28">
        <f t="shared" si="15"/>
        <v>78.87152777777777</v>
      </c>
      <c r="D37" s="26">
        <f t="shared" si="16"/>
        <v>440</v>
      </c>
      <c r="E37" s="26">
        <f t="shared" si="17"/>
        <v>518.8715277777778</v>
      </c>
      <c r="F37" s="20"/>
    </row>
  </sheetData>
  <mergeCells count="1">
    <mergeCell ref="A1:J1"/>
  </mergeCells>
  <printOptions/>
  <pageMargins left="0.5905511811023623" right="0.5905511811023623" top="1.7716535433070868" bottom="0.984251968503937" header="0.3937007874015748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O21" sqref="O21"/>
    </sheetView>
  </sheetViews>
  <sheetFormatPr defaultColWidth="9.140625" defaultRowHeight="12.75"/>
  <cols>
    <col min="1" max="1" width="15.421875" style="0" bestFit="1" customWidth="1"/>
    <col min="2" max="2" width="19.8515625" style="212" bestFit="1" customWidth="1"/>
    <col min="3" max="3" width="20.28125" style="0" bestFit="1" customWidth="1"/>
    <col min="4" max="4" width="8.421875" style="212" bestFit="1" customWidth="1"/>
    <col min="5" max="5" width="7.8515625" style="212" bestFit="1" customWidth="1"/>
    <col min="6" max="6" width="10.00390625" style="212" bestFit="1" customWidth="1"/>
    <col min="7" max="7" width="8.00390625" style="212" bestFit="1" customWidth="1"/>
    <col min="8" max="8" width="8.57421875" style="212" bestFit="1" customWidth="1"/>
    <col min="9" max="9" width="76.140625" style="0" bestFit="1" customWidth="1"/>
  </cols>
  <sheetData>
    <row r="1" spans="1:8" ht="12.75">
      <c r="A1" s="235" t="s">
        <v>2</v>
      </c>
      <c r="B1" s="236"/>
      <c r="C1" s="236"/>
      <c r="D1" s="236"/>
      <c r="E1" s="236"/>
      <c r="F1" s="236"/>
      <c r="G1" s="236"/>
      <c r="H1" s="237"/>
    </row>
    <row r="2" spans="2:8" ht="12.75">
      <c r="B2" s="238" t="s">
        <v>167</v>
      </c>
      <c r="C2" s="238" t="s">
        <v>168</v>
      </c>
      <c r="D2" s="238" t="s">
        <v>169</v>
      </c>
      <c r="E2" s="239" t="s">
        <v>170</v>
      </c>
      <c r="F2" s="238" t="s">
        <v>171</v>
      </c>
      <c r="G2" s="238" t="s">
        <v>172</v>
      </c>
      <c r="H2" s="238" t="s">
        <v>173</v>
      </c>
    </row>
    <row r="3" spans="1:9" ht="12.75" customHeight="1" thickBot="1">
      <c r="A3" t="s">
        <v>174</v>
      </c>
      <c r="B3" s="29">
        <v>1</v>
      </c>
      <c r="C3" s="89" t="s">
        <v>6</v>
      </c>
      <c r="D3" s="29">
        <v>1</v>
      </c>
      <c r="E3" s="240">
        <v>2</v>
      </c>
      <c r="F3" s="241"/>
      <c r="G3" s="29">
        <v>2</v>
      </c>
      <c r="H3" s="240"/>
      <c r="I3" t="s">
        <v>207</v>
      </c>
    </row>
    <row r="4" spans="1:9" ht="12.75">
      <c r="A4" s="242" t="s">
        <v>175</v>
      </c>
      <c r="B4" s="243">
        <v>6</v>
      </c>
      <c r="C4" s="89" t="s">
        <v>4</v>
      </c>
      <c r="D4" s="29">
        <v>1</v>
      </c>
      <c r="E4" s="29">
        <v>1</v>
      </c>
      <c r="F4" s="244"/>
      <c r="G4" s="29">
        <v>1</v>
      </c>
      <c r="H4" s="240"/>
      <c r="I4" t="s">
        <v>208</v>
      </c>
    </row>
    <row r="5" spans="1:9" ht="13.5" thickBot="1">
      <c r="A5" s="245">
        <f>SUM(D3:D6)+SUM(E3:E6)+SUM(G3:G6)+SUM(H3:H6)+SUM(F5:F6)</f>
        <v>20</v>
      </c>
      <c r="B5" s="243">
        <v>7</v>
      </c>
      <c r="C5" s="89" t="s">
        <v>8</v>
      </c>
      <c r="D5" s="29">
        <v>1</v>
      </c>
      <c r="E5" s="29">
        <v>2</v>
      </c>
      <c r="F5" s="240">
        <v>3</v>
      </c>
      <c r="G5" s="29"/>
      <c r="H5" s="240"/>
      <c r="I5" t="s">
        <v>209</v>
      </c>
    </row>
    <row r="6" spans="2:9" ht="12.75">
      <c r="B6" s="29">
        <v>8</v>
      </c>
      <c r="C6" s="89" t="s">
        <v>14</v>
      </c>
      <c r="D6" s="29">
        <v>1</v>
      </c>
      <c r="E6" s="29"/>
      <c r="F6" s="240">
        <v>3</v>
      </c>
      <c r="G6" s="29">
        <v>2</v>
      </c>
      <c r="H6" s="240"/>
      <c r="I6" t="s">
        <v>210</v>
      </c>
    </row>
    <row r="7" spans="2:8" ht="12.75">
      <c r="B7" s="246"/>
      <c r="C7" s="57"/>
      <c r="D7" s="246"/>
      <c r="E7" s="246"/>
      <c r="F7" s="246"/>
      <c r="G7" s="246"/>
      <c r="H7" s="247"/>
    </row>
    <row r="8" spans="1:8" ht="13.5" thickBot="1">
      <c r="A8" t="s">
        <v>176</v>
      </c>
      <c r="B8" s="29">
        <v>1</v>
      </c>
      <c r="C8" s="99" t="s">
        <v>6</v>
      </c>
      <c r="D8" s="29"/>
      <c r="E8" s="240">
        <v>2</v>
      </c>
      <c r="F8" s="241"/>
      <c r="G8" s="29"/>
      <c r="H8" s="240"/>
    </row>
    <row r="9" spans="1:8" ht="12.75">
      <c r="A9" s="248" t="s">
        <v>175</v>
      </c>
      <c r="B9" s="29">
        <v>6</v>
      </c>
      <c r="C9" s="99" t="s">
        <v>4</v>
      </c>
      <c r="D9" s="29"/>
      <c r="E9" s="29">
        <v>1</v>
      </c>
      <c r="F9" s="249"/>
      <c r="G9" s="29"/>
      <c r="H9" s="240"/>
    </row>
    <row r="10" spans="1:8" ht="13.5" thickBot="1">
      <c r="A10" s="250">
        <f>SUM(E8:E11)+SUM(D14:D15)+SUM(F13:F17)+SUM(G13:G17)</f>
        <v>21</v>
      </c>
      <c r="B10" s="29">
        <v>7</v>
      </c>
      <c r="C10" s="99" t="s">
        <v>8</v>
      </c>
      <c r="D10" s="29"/>
      <c r="E10" s="29">
        <v>1</v>
      </c>
      <c r="F10" s="240"/>
      <c r="G10" s="29"/>
      <c r="H10" s="240"/>
    </row>
    <row r="11" spans="2:8" ht="12.75">
      <c r="B11" s="29">
        <v>8</v>
      </c>
      <c r="C11" s="99" t="s">
        <v>14</v>
      </c>
      <c r="D11" s="29"/>
      <c r="E11" s="29">
        <v>1</v>
      </c>
      <c r="F11" s="240"/>
      <c r="G11" s="29"/>
      <c r="H11" s="240"/>
    </row>
    <row r="12" spans="2:8" ht="4.5" customHeight="1">
      <c r="B12" s="246"/>
      <c r="C12" s="57"/>
      <c r="D12" s="246"/>
      <c r="E12" s="246"/>
      <c r="F12" s="247"/>
      <c r="G12" s="246"/>
      <c r="H12" s="247"/>
    </row>
    <row r="13" spans="2:9" ht="12.75">
      <c r="B13" s="29">
        <v>1</v>
      </c>
      <c r="C13" s="99" t="s">
        <v>6</v>
      </c>
      <c r="D13" s="241"/>
      <c r="E13" s="240"/>
      <c r="F13" s="240">
        <v>1</v>
      </c>
      <c r="G13" s="240">
        <v>2</v>
      </c>
      <c r="H13" s="251"/>
      <c r="I13" t="s">
        <v>177</v>
      </c>
    </row>
    <row r="14" spans="1:9" ht="12.75">
      <c r="A14" s="54"/>
      <c r="B14" s="75">
        <v>4</v>
      </c>
      <c r="C14" s="252" t="s">
        <v>12</v>
      </c>
      <c r="D14" s="29">
        <v>3</v>
      </c>
      <c r="E14" s="240"/>
      <c r="F14" s="29">
        <v>1</v>
      </c>
      <c r="G14" s="240"/>
      <c r="H14" s="251"/>
      <c r="I14" t="s">
        <v>211</v>
      </c>
    </row>
    <row r="15" spans="1:9" ht="12.75">
      <c r="A15" s="54"/>
      <c r="B15" s="75">
        <v>3</v>
      </c>
      <c r="C15" s="252" t="s">
        <v>10</v>
      </c>
      <c r="D15" s="29">
        <v>2</v>
      </c>
      <c r="E15" s="240"/>
      <c r="F15" s="29">
        <v>1</v>
      </c>
      <c r="G15" s="29">
        <v>1</v>
      </c>
      <c r="H15" s="251"/>
      <c r="I15" t="s">
        <v>212</v>
      </c>
    </row>
    <row r="16" spans="1:8" ht="12.75">
      <c r="A16" s="54"/>
      <c r="B16" s="75">
        <v>2</v>
      </c>
      <c r="C16" s="252" t="s">
        <v>3</v>
      </c>
      <c r="D16" s="29"/>
      <c r="E16" s="240"/>
      <c r="F16" s="29">
        <v>1</v>
      </c>
      <c r="G16" s="29">
        <v>1</v>
      </c>
      <c r="H16" s="251"/>
    </row>
    <row r="17" spans="2:9" ht="12.75">
      <c r="B17" s="75">
        <v>5</v>
      </c>
      <c r="C17" s="252" t="s">
        <v>15</v>
      </c>
      <c r="D17" s="29"/>
      <c r="E17" s="240"/>
      <c r="F17" s="29">
        <v>1</v>
      </c>
      <c r="G17" s="29">
        <v>2</v>
      </c>
      <c r="H17" s="251"/>
      <c r="I17" t="s">
        <v>213</v>
      </c>
    </row>
    <row r="19" spans="1:8" ht="12.75">
      <c r="A19" s="235" t="s">
        <v>5</v>
      </c>
      <c r="B19" s="236"/>
      <c r="C19" s="236"/>
      <c r="D19" s="236"/>
      <c r="E19" s="236"/>
      <c r="F19" s="236"/>
      <c r="G19" s="236"/>
      <c r="H19" s="237"/>
    </row>
    <row r="20" spans="1:8" s="130" customFormat="1" ht="12.75">
      <c r="A20"/>
      <c r="B20" s="238" t="s">
        <v>167</v>
      </c>
      <c r="C20" s="238" t="s">
        <v>168</v>
      </c>
      <c r="D20" s="238" t="s">
        <v>169</v>
      </c>
      <c r="E20" s="238" t="s">
        <v>170</v>
      </c>
      <c r="F20" s="238" t="s">
        <v>171</v>
      </c>
      <c r="G20" s="238" t="s">
        <v>172</v>
      </c>
      <c r="H20" s="238" t="s">
        <v>173</v>
      </c>
    </row>
    <row r="21" spans="1:9" ht="13.5" thickBot="1">
      <c r="A21" t="s">
        <v>174</v>
      </c>
      <c r="B21" s="75">
        <v>1</v>
      </c>
      <c r="C21" s="253" t="s">
        <v>17</v>
      </c>
      <c r="D21" s="29">
        <v>4</v>
      </c>
      <c r="E21" s="240"/>
      <c r="F21" s="29">
        <v>4</v>
      </c>
      <c r="G21" s="29">
        <v>5</v>
      </c>
      <c r="H21" s="240"/>
      <c r="I21" t="s">
        <v>214</v>
      </c>
    </row>
    <row r="22" spans="1:9" ht="12.75">
      <c r="A22" s="254" t="s">
        <v>130</v>
      </c>
      <c r="B22" s="255">
        <v>3</v>
      </c>
      <c r="C22" s="256" t="s">
        <v>18</v>
      </c>
      <c r="D22" s="29">
        <v>1</v>
      </c>
      <c r="E22" s="240"/>
      <c r="F22" s="29"/>
      <c r="G22" s="29"/>
      <c r="H22" s="240"/>
      <c r="I22" t="s">
        <v>178</v>
      </c>
    </row>
    <row r="23" spans="1:9" ht="13.5" thickBot="1">
      <c r="A23" s="257">
        <f>SUM(D21:D23)+SUM(E25:E26)+SUM(F21:F23)+SUM(G21:G23)+SUM(H21:H23)</f>
        <v>20</v>
      </c>
      <c r="B23" s="75">
        <v>7</v>
      </c>
      <c r="C23" s="89" t="s">
        <v>22</v>
      </c>
      <c r="D23" s="29">
        <v>1</v>
      </c>
      <c r="E23" s="240"/>
      <c r="F23" s="29"/>
      <c r="G23" s="29"/>
      <c r="H23" s="240"/>
      <c r="I23" s="130"/>
    </row>
    <row r="24" spans="1:9" ht="4.5" customHeight="1">
      <c r="A24" s="54"/>
      <c r="B24" s="172"/>
      <c r="C24" s="57"/>
      <c r="D24" s="246"/>
      <c r="E24" s="247"/>
      <c r="F24" s="246"/>
      <c r="G24" s="246"/>
      <c r="H24" s="247"/>
      <c r="I24" s="130"/>
    </row>
    <row r="25" spans="1:9" s="130" customFormat="1" ht="12.75">
      <c r="A25"/>
      <c r="B25" s="158">
        <v>6</v>
      </c>
      <c r="C25" s="258" t="s">
        <v>59</v>
      </c>
      <c r="D25" s="29"/>
      <c r="E25" s="29">
        <v>2</v>
      </c>
      <c r="F25" s="240"/>
      <c r="G25" s="29"/>
      <c r="H25" s="29"/>
      <c r="I25" t="s">
        <v>215</v>
      </c>
    </row>
    <row r="26" spans="2:8" ht="12.75">
      <c r="B26" s="158">
        <v>8</v>
      </c>
      <c r="C26" s="258" t="s">
        <v>62</v>
      </c>
      <c r="D26" s="29"/>
      <c r="E26" s="29">
        <v>3</v>
      </c>
      <c r="F26" s="29"/>
      <c r="G26" s="29"/>
      <c r="H26" s="29"/>
    </row>
    <row r="27" spans="1:8" ht="12.75">
      <c r="A27" s="57"/>
      <c r="B27" s="259"/>
      <c r="C27" s="57"/>
      <c r="D27" s="247"/>
      <c r="E27" s="247"/>
      <c r="F27" s="247"/>
      <c r="G27" s="247"/>
      <c r="H27" s="247"/>
    </row>
    <row r="28" spans="1:9" ht="13.5" thickBot="1">
      <c r="A28" t="s">
        <v>176</v>
      </c>
      <c r="B28" s="75">
        <v>4</v>
      </c>
      <c r="C28" s="99" t="s">
        <v>19</v>
      </c>
      <c r="D28" s="29"/>
      <c r="E28" s="240"/>
      <c r="F28" s="29">
        <v>2</v>
      </c>
      <c r="G28" s="29">
        <v>1</v>
      </c>
      <c r="H28" s="29"/>
      <c r="I28" t="s">
        <v>216</v>
      </c>
    </row>
    <row r="29" spans="1:9" ht="12.75">
      <c r="A29" s="254" t="s">
        <v>130</v>
      </c>
      <c r="B29" s="75">
        <v>5</v>
      </c>
      <c r="C29" s="260" t="s">
        <v>20</v>
      </c>
      <c r="D29" s="29"/>
      <c r="E29" s="240"/>
      <c r="F29" s="29">
        <v>2</v>
      </c>
      <c r="G29" s="29"/>
      <c r="H29" s="29">
        <v>1</v>
      </c>
      <c r="I29" t="s">
        <v>179</v>
      </c>
    </row>
    <row r="30" spans="1:9" ht="13.5" thickBot="1">
      <c r="A30" s="261">
        <f>SUM(D28:D31)+SUM(F28:F31)+SUM(G28:G31)+SUM(H28:H31)</f>
        <v>17</v>
      </c>
      <c r="B30" s="75">
        <v>2</v>
      </c>
      <c r="C30" s="252" t="s">
        <v>16</v>
      </c>
      <c r="D30" s="29">
        <v>2</v>
      </c>
      <c r="E30" s="240"/>
      <c r="F30" s="29"/>
      <c r="G30" s="29">
        <v>4</v>
      </c>
      <c r="H30" s="29"/>
      <c r="I30" t="s">
        <v>217</v>
      </c>
    </row>
    <row r="31" spans="2:9" ht="12.75">
      <c r="B31" s="75">
        <v>6</v>
      </c>
      <c r="C31" s="252" t="s">
        <v>21</v>
      </c>
      <c r="D31" s="29">
        <v>2</v>
      </c>
      <c r="E31" s="240"/>
      <c r="F31" s="29">
        <v>1</v>
      </c>
      <c r="G31" s="29"/>
      <c r="H31" s="29">
        <v>2</v>
      </c>
      <c r="I31" t="s">
        <v>218</v>
      </c>
    </row>
    <row r="32" ht="12.75">
      <c r="I32" t="s">
        <v>219</v>
      </c>
    </row>
    <row r="33" spans="1:8" ht="12.75">
      <c r="A33" s="235" t="s">
        <v>7</v>
      </c>
      <c r="B33" s="236"/>
      <c r="C33" s="236"/>
      <c r="D33" s="236"/>
      <c r="E33" s="236"/>
      <c r="F33" s="236"/>
      <c r="G33" s="236"/>
      <c r="H33" s="237"/>
    </row>
    <row r="34" spans="2:8" ht="12.75">
      <c r="B34" s="238" t="s">
        <v>167</v>
      </c>
      <c r="C34" s="238" t="s">
        <v>168</v>
      </c>
      <c r="D34" s="238" t="s">
        <v>169</v>
      </c>
      <c r="E34" s="238" t="s">
        <v>170</v>
      </c>
      <c r="F34" s="238" t="s">
        <v>171</v>
      </c>
      <c r="G34" s="238" t="s">
        <v>172</v>
      </c>
      <c r="H34" s="238" t="s">
        <v>173</v>
      </c>
    </row>
    <row r="35" spans="1:8" ht="13.5" thickBot="1">
      <c r="A35" t="s">
        <v>174</v>
      </c>
      <c r="B35" s="75">
        <v>1</v>
      </c>
      <c r="C35" s="89" t="s">
        <v>26</v>
      </c>
      <c r="D35" s="240">
        <v>4</v>
      </c>
      <c r="E35" s="240">
        <v>5</v>
      </c>
      <c r="F35" s="240">
        <v>5</v>
      </c>
      <c r="G35" s="240">
        <v>5</v>
      </c>
      <c r="H35" s="262"/>
    </row>
    <row r="36" spans="1:8" ht="12.75">
      <c r="A36" s="254" t="s">
        <v>130</v>
      </c>
      <c r="B36" s="172"/>
      <c r="C36" s="57"/>
      <c r="D36" s="263"/>
      <c r="E36" s="247"/>
      <c r="F36" s="247"/>
      <c r="G36" s="247"/>
      <c r="H36" s="247"/>
    </row>
    <row r="37" spans="1:8" ht="13.5" thickBot="1">
      <c r="A37" s="261">
        <f>D35+E35+F35+G35+H35</f>
        <v>19</v>
      </c>
      <c r="B37" s="172"/>
      <c r="C37" s="57"/>
      <c r="D37" s="263"/>
      <c r="E37" s="247"/>
      <c r="F37" s="247"/>
      <c r="G37" s="247"/>
      <c r="H37" s="247"/>
    </row>
    <row r="38" spans="1:9" ht="12.75">
      <c r="A38" s="130"/>
      <c r="B38" s="259"/>
      <c r="C38" s="264"/>
      <c r="D38" s="247"/>
      <c r="E38" s="247"/>
      <c r="F38" s="247"/>
      <c r="G38" s="247"/>
      <c r="H38" s="247"/>
      <c r="I38" s="130"/>
    </row>
    <row r="39" spans="1:9" ht="13.5" thickBot="1">
      <c r="A39" t="s">
        <v>176</v>
      </c>
      <c r="B39" s="75">
        <v>4</v>
      </c>
      <c r="C39" s="99" t="s">
        <v>25</v>
      </c>
      <c r="D39" s="240">
        <v>3</v>
      </c>
      <c r="E39" s="240">
        <v>5</v>
      </c>
      <c r="F39" s="240">
        <v>4</v>
      </c>
      <c r="G39" s="240">
        <v>5</v>
      </c>
      <c r="H39" s="251"/>
      <c r="I39" t="s">
        <v>220</v>
      </c>
    </row>
    <row r="40" spans="1:9" ht="12.75">
      <c r="A40" s="254" t="s">
        <v>130</v>
      </c>
      <c r="B40" s="75">
        <v>7</v>
      </c>
      <c r="C40" s="252" t="s">
        <v>29</v>
      </c>
      <c r="D40" s="240">
        <v>2</v>
      </c>
      <c r="E40" s="240"/>
      <c r="F40" s="240">
        <v>1</v>
      </c>
      <c r="G40" s="240"/>
      <c r="H40" s="251"/>
      <c r="I40" t="s">
        <v>221</v>
      </c>
    </row>
    <row r="41" spans="1:8" ht="13.5" thickBot="1">
      <c r="A41" s="261">
        <f>SUM(D39:D40)+SUM(E39:E40)+SUM(F39:F40)+SUM(G39:G40)+SUM(H39:H40)</f>
        <v>20</v>
      </c>
      <c r="B41" s="172"/>
      <c r="C41" s="57"/>
      <c r="D41" s="247"/>
      <c r="E41" s="247"/>
      <c r="F41" s="247"/>
      <c r="G41" s="247"/>
      <c r="H41" s="247"/>
    </row>
    <row r="42" spans="2:8" ht="12.75">
      <c r="B42" s="246"/>
      <c r="C42" s="57"/>
      <c r="D42" s="246"/>
      <c r="E42" s="265"/>
      <c r="F42" s="266"/>
      <c r="G42" s="246"/>
      <c r="H42" s="246"/>
    </row>
    <row r="43" spans="1:9" ht="13.5" thickBot="1">
      <c r="A43" t="s">
        <v>180</v>
      </c>
      <c r="B43" s="267">
        <v>2</v>
      </c>
      <c r="C43" s="206" t="s">
        <v>23</v>
      </c>
      <c r="D43" s="243"/>
      <c r="E43" s="251"/>
      <c r="F43" s="29">
        <v>2</v>
      </c>
      <c r="G43" s="29"/>
      <c r="H43" s="29"/>
      <c r="I43" t="s">
        <v>222</v>
      </c>
    </row>
    <row r="44" spans="1:9" ht="12.75">
      <c r="A44" s="254" t="s">
        <v>130</v>
      </c>
      <c r="B44" s="75">
        <v>3</v>
      </c>
      <c r="C44" s="268" t="s">
        <v>24</v>
      </c>
      <c r="D44" s="29"/>
      <c r="E44" s="251"/>
      <c r="F44" s="13">
        <v>2</v>
      </c>
      <c r="G44" s="29"/>
      <c r="H44" s="29"/>
      <c r="I44" t="s">
        <v>223</v>
      </c>
    </row>
    <row r="45" spans="1:9" ht="13.5" thickBot="1">
      <c r="A45" s="261">
        <f>SUM(D43:D46)+SUM(E43:E46)+SUM(F42:F46)+SUM(G43:G46)+SUM(H43:H46)</f>
        <v>17</v>
      </c>
      <c r="B45" s="75">
        <v>5</v>
      </c>
      <c r="C45" s="206" t="s">
        <v>27</v>
      </c>
      <c r="D45" s="29">
        <v>3</v>
      </c>
      <c r="E45" s="251"/>
      <c r="F45" s="29"/>
      <c r="G45" s="29">
        <v>3</v>
      </c>
      <c r="H45" s="29">
        <v>3</v>
      </c>
      <c r="I45" t="s">
        <v>224</v>
      </c>
    </row>
    <row r="46" spans="2:9" ht="12.75">
      <c r="B46" s="75">
        <v>6</v>
      </c>
      <c r="C46" s="206" t="s">
        <v>28</v>
      </c>
      <c r="D46" s="29">
        <v>2</v>
      </c>
      <c r="E46" s="251"/>
      <c r="F46" s="29"/>
      <c r="G46" s="29">
        <v>2</v>
      </c>
      <c r="H46" s="29"/>
      <c r="I46" t="s">
        <v>225</v>
      </c>
    </row>
    <row r="47" ht="3" customHeight="1"/>
    <row r="48" ht="15.75" customHeight="1"/>
    <row r="49" spans="1:8" ht="12.75">
      <c r="A49" s="235" t="s">
        <v>11</v>
      </c>
      <c r="B49" s="236"/>
      <c r="C49" s="236"/>
      <c r="D49" s="236"/>
      <c r="E49" s="236"/>
      <c r="F49" s="236"/>
      <c r="G49" s="236"/>
      <c r="H49" s="237"/>
    </row>
    <row r="50" spans="2:9" ht="12.75">
      <c r="B50" s="238" t="s">
        <v>167</v>
      </c>
      <c r="C50" s="238" t="s">
        <v>168</v>
      </c>
      <c r="D50" s="238" t="s">
        <v>169</v>
      </c>
      <c r="E50" s="238" t="s">
        <v>170</v>
      </c>
      <c r="F50" s="238" t="s">
        <v>171</v>
      </c>
      <c r="G50" s="238" t="s">
        <v>172</v>
      </c>
      <c r="H50" s="238" t="s">
        <v>173</v>
      </c>
      <c r="I50" t="s">
        <v>226</v>
      </c>
    </row>
    <row r="51" spans="1:9" s="130" customFormat="1" ht="13.5" thickBot="1">
      <c r="A51" t="s">
        <v>174</v>
      </c>
      <c r="B51" s="75">
        <v>1</v>
      </c>
      <c r="C51" s="89" t="s">
        <v>49</v>
      </c>
      <c r="D51" s="240">
        <v>1</v>
      </c>
      <c r="E51" s="240"/>
      <c r="F51" s="240">
        <v>1</v>
      </c>
      <c r="G51" s="240"/>
      <c r="H51" s="240">
        <v>1</v>
      </c>
      <c r="I51" t="s">
        <v>227</v>
      </c>
    </row>
    <row r="52" spans="1:9" ht="12.75">
      <c r="A52" s="254" t="s">
        <v>130</v>
      </c>
      <c r="B52" s="75">
        <v>2</v>
      </c>
      <c r="C52" s="89" t="s">
        <v>50</v>
      </c>
      <c r="D52" s="240">
        <v>1</v>
      </c>
      <c r="E52" s="29"/>
      <c r="F52" s="240"/>
      <c r="G52" s="240">
        <v>4</v>
      </c>
      <c r="H52" s="251"/>
      <c r="I52" t="s">
        <v>228</v>
      </c>
    </row>
    <row r="53" spans="1:9" ht="13.5" thickBot="1">
      <c r="A53" s="261">
        <f>SUM(D51:D56)+SUM(E51:E56)+SUM(F51:F56)+SUM(G51:G56)+SUM(H51:H56)</f>
        <v>22</v>
      </c>
      <c r="B53" s="75">
        <v>5</v>
      </c>
      <c r="C53" s="152" t="s">
        <v>53</v>
      </c>
      <c r="D53" s="29">
        <v>2</v>
      </c>
      <c r="E53" s="29">
        <v>2</v>
      </c>
      <c r="F53" s="29"/>
      <c r="G53" s="29"/>
      <c r="H53" s="251"/>
      <c r="I53" t="s">
        <v>229</v>
      </c>
    </row>
    <row r="54" spans="2:9" ht="12.75">
      <c r="B54" s="75">
        <v>6</v>
      </c>
      <c r="C54" s="253" t="s">
        <v>54</v>
      </c>
      <c r="D54" s="29">
        <v>2</v>
      </c>
      <c r="E54" s="29">
        <v>3</v>
      </c>
      <c r="F54" s="29"/>
      <c r="G54" s="29"/>
      <c r="H54" s="251"/>
      <c r="I54" t="s">
        <v>230</v>
      </c>
    </row>
    <row r="55" spans="2:9" ht="12.75">
      <c r="B55" s="75">
        <v>4</v>
      </c>
      <c r="C55" s="152" t="s">
        <v>52</v>
      </c>
      <c r="D55" s="29"/>
      <c r="E55" s="29"/>
      <c r="F55" s="29">
        <v>2</v>
      </c>
      <c r="G55" s="29"/>
      <c r="H55" s="251"/>
      <c r="I55" t="s">
        <v>231</v>
      </c>
    </row>
    <row r="56" spans="2:8" ht="12.75">
      <c r="B56" s="75">
        <v>3</v>
      </c>
      <c r="C56" s="152" t="s">
        <v>51</v>
      </c>
      <c r="D56" s="29"/>
      <c r="E56" s="240"/>
      <c r="F56" s="29">
        <v>2</v>
      </c>
      <c r="G56" s="29"/>
      <c r="H56" s="269">
        <v>1</v>
      </c>
    </row>
    <row r="57" spans="1:9" ht="12.75">
      <c r="A57" s="130"/>
      <c r="B57" s="259"/>
      <c r="C57" s="57"/>
      <c r="D57" s="247"/>
      <c r="E57" s="247"/>
      <c r="F57" s="247"/>
      <c r="G57" s="247"/>
      <c r="H57" s="270"/>
      <c r="I57" s="130"/>
    </row>
    <row r="58" spans="1:8" ht="12.75">
      <c r="A58" s="235" t="s">
        <v>13</v>
      </c>
      <c r="B58" s="236"/>
      <c r="C58" s="236"/>
      <c r="D58" s="236"/>
      <c r="E58" s="236"/>
      <c r="F58" s="236"/>
      <c r="G58" s="236"/>
      <c r="H58" s="237"/>
    </row>
    <row r="59" spans="2:8" ht="12.75">
      <c r="B59" s="238" t="s">
        <v>167</v>
      </c>
      <c r="C59" s="238" t="s">
        <v>168</v>
      </c>
      <c r="D59" s="238" t="s">
        <v>169</v>
      </c>
      <c r="E59" s="238" t="s">
        <v>170</v>
      </c>
      <c r="F59" s="238" t="s">
        <v>171</v>
      </c>
      <c r="G59" s="238" t="s">
        <v>172</v>
      </c>
      <c r="H59" s="238" t="s">
        <v>173</v>
      </c>
    </row>
    <row r="60" spans="1:9" ht="13.5" thickBot="1">
      <c r="A60" t="s">
        <v>174</v>
      </c>
      <c r="B60" s="75">
        <v>3</v>
      </c>
      <c r="C60" s="89" t="s">
        <v>56</v>
      </c>
      <c r="D60" s="240">
        <v>2</v>
      </c>
      <c r="E60" s="240"/>
      <c r="F60" s="240">
        <v>1</v>
      </c>
      <c r="G60" s="240"/>
      <c r="H60" s="240"/>
      <c r="I60" t="s">
        <v>232</v>
      </c>
    </row>
    <row r="61" spans="1:9" s="130" customFormat="1" ht="12.75">
      <c r="A61" s="254" t="s">
        <v>130</v>
      </c>
      <c r="B61" s="75">
        <v>4</v>
      </c>
      <c r="C61" s="89" t="s">
        <v>57</v>
      </c>
      <c r="D61" s="29">
        <v>2</v>
      </c>
      <c r="E61" s="240"/>
      <c r="F61" s="29">
        <v>2</v>
      </c>
      <c r="G61" s="29"/>
      <c r="H61" s="29"/>
      <c r="I61" t="s">
        <v>233</v>
      </c>
    </row>
    <row r="62" spans="1:8" ht="13.5" thickBot="1">
      <c r="A62" s="257">
        <f>SUM(D60:D62)+SUM(E64:E66)+SUM(F60:F62)+SUM(G64:G66)+SUM(H64:H66)</f>
        <v>19</v>
      </c>
      <c r="B62" s="75">
        <v>8</v>
      </c>
      <c r="C62" s="89" t="s">
        <v>62</v>
      </c>
      <c r="D62" s="29">
        <v>1</v>
      </c>
      <c r="E62" s="240"/>
      <c r="F62" s="29">
        <v>2</v>
      </c>
      <c r="G62" s="29"/>
      <c r="H62" s="29"/>
    </row>
    <row r="63" spans="1:9" ht="3" customHeight="1">
      <c r="A63" s="130"/>
      <c r="B63" s="259"/>
      <c r="C63" s="57"/>
      <c r="D63" s="247"/>
      <c r="E63" s="247"/>
      <c r="F63" s="247"/>
      <c r="G63" s="247"/>
      <c r="H63" s="247"/>
      <c r="I63" s="130"/>
    </row>
    <row r="64" spans="2:9" ht="12.75">
      <c r="B64" s="75">
        <v>1</v>
      </c>
      <c r="C64" s="89" t="s">
        <v>60</v>
      </c>
      <c r="D64" s="29"/>
      <c r="E64" s="29">
        <v>2</v>
      </c>
      <c r="F64" s="29"/>
      <c r="G64" s="29">
        <v>2</v>
      </c>
      <c r="H64" s="29"/>
      <c r="I64" t="s">
        <v>234</v>
      </c>
    </row>
    <row r="65" spans="2:8" ht="12.75">
      <c r="B65" s="75">
        <v>2</v>
      </c>
      <c r="C65" s="89" t="s">
        <v>55</v>
      </c>
      <c r="D65" s="29"/>
      <c r="E65" s="29">
        <v>1</v>
      </c>
      <c r="F65" s="29"/>
      <c r="G65" s="29">
        <v>2</v>
      </c>
      <c r="H65" s="29"/>
    </row>
    <row r="66" spans="2:8" ht="12.75">
      <c r="B66" s="75">
        <v>5</v>
      </c>
      <c r="C66" s="271" t="s">
        <v>58</v>
      </c>
      <c r="D66" s="29"/>
      <c r="E66" s="29">
        <v>1</v>
      </c>
      <c r="F66" s="29"/>
      <c r="G66" s="29">
        <v>1</v>
      </c>
      <c r="H66" s="29"/>
    </row>
    <row r="67" spans="1:9" ht="3.75" customHeight="1">
      <c r="A67" s="57"/>
      <c r="B67" s="259"/>
      <c r="C67" s="57"/>
      <c r="D67" s="247"/>
      <c r="E67" s="247"/>
      <c r="F67" s="247"/>
      <c r="G67" s="247"/>
      <c r="H67" s="247"/>
      <c r="I67" s="130"/>
    </row>
    <row r="68" spans="2:9" ht="12.75">
      <c r="B68" s="75">
        <v>6</v>
      </c>
      <c r="C68" s="258" t="s">
        <v>59</v>
      </c>
      <c r="D68" s="272" t="s">
        <v>181</v>
      </c>
      <c r="E68" s="272"/>
      <c r="F68" s="272"/>
      <c r="G68" s="272"/>
      <c r="H68" s="272"/>
      <c r="I68" t="s">
        <v>235</v>
      </c>
    </row>
    <row r="69" spans="2:8" ht="12.75">
      <c r="B69" s="75">
        <v>8</v>
      </c>
      <c r="C69" s="258" t="s">
        <v>62</v>
      </c>
      <c r="D69" s="272"/>
      <c r="E69" s="272"/>
      <c r="F69" s="272"/>
      <c r="G69" s="272"/>
      <c r="H69" s="272"/>
    </row>
    <row r="71" spans="1:8" ht="12.75">
      <c r="A71" s="273" t="s">
        <v>9</v>
      </c>
      <c r="B71" s="273"/>
      <c r="C71" s="273"/>
      <c r="D71" s="273"/>
      <c r="E71" s="273"/>
      <c r="F71" s="273"/>
      <c r="G71" s="273"/>
      <c r="H71" s="273"/>
    </row>
    <row r="72" spans="2:8" ht="12.75">
      <c r="B72" s="14" t="s">
        <v>167</v>
      </c>
      <c r="C72" s="14" t="s">
        <v>168</v>
      </c>
      <c r="D72" s="14" t="s">
        <v>169</v>
      </c>
      <c r="E72" s="14" t="s">
        <v>170</v>
      </c>
      <c r="F72" s="14" t="s">
        <v>171</v>
      </c>
      <c r="G72" s="14" t="s">
        <v>172</v>
      </c>
      <c r="H72" s="14" t="s">
        <v>173</v>
      </c>
    </row>
    <row r="73" spans="1:9" ht="12.75">
      <c r="A73" t="s">
        <v>174</v>
      </c>
      <c r="B73" s="75">
        <v>1</v>
      </c>
      <c r="C73" s="153" t="s">
        <v>45</v>
      </c>
      <c r="D73" s="240"/>
      <c r="E73" s="240">
        <v>3</v>
      </c>
      <c r="F73" s="240"/>
      <c r="G73" s="240">
        <v>2</v>
      </c>
      <c r="H73" s="240"/>
      <c r="I73" t="s">
        <v>236</v>
      </c>
    </row>
    <row r="74" spans="1:9" ht="13.5" thickBot="1">
      <c r="A74" t="s">
        <v>182</v>
      </c>
      <c r="B74" s="75">
        <v>3</v>
      </c>
      <c r="C74" s="252" t="s">
        <v>31</v>
      </c>
      <c r="D74" s="29"/>
      <c r="E74" s="240">
        <v>2</v>
      </c>
      <c r="F74" s="240"/>
      <c r="G74" s="29">
        <v>1</v>
      </c>
      <c r="H74" s="29"/>
      <c r="I74" t="s">
        <v>237</v>
      </c>
    </row>
    <row r="75" spans="1:9" ht="12.75">
      <c r="A75" s="254" t="s">
        <v>130</v>
      </c>
      <c r="B75" s="75">
        <v>4</v>
      </c>
      <c r="C75" s="153" t="s">
        <v>34</v>
      </c>
      <c r="D75" s="29">
        <v>2</v>
      </c>
      <c r="E75" s="29"/>
      <c r="F75" s="29">
        <v>2</v>
      </c>
      <c r="G75" s="29"/>
      <c r="H75" s="29"/>
      <c r="I75" t="s">
        <v>238</v>
      </c>
    </row>
    <row r="76" spans="1:9" ht="13.5" thickBot="1">
      <c r="A76" s="261">
        <f>SUM(D73:D79)+SUM(E73:E79)+SUM(F73:F79)+SUM(G73:G79)+SUM(H73:H79)</f>
        <v>25</v>
      </c>
      <c r="B76" s="75">
        <v>2</v>
      </c>
      <c r="C76" s="252" t="s">
        <v>30</v>
      </c>
      <c r="D76" s="29"/>
      <c r="E76" s="29">
        <v>1</v>
      </c>
      <c r="F76" s="29"/>
      <c r="G76" s="29">
        <v>2</v>
      </c>
      <c r="H76" s="29"/>
      <c r="I76" t="s">
        <v>239</v>
      </c>
    </row>
    <row r="77" spans="2:9" ht="12.75">
      <c r="B77" s="75">
        <v>7</v>
      </c>
      <c r="C77" s="153" t="s">
        <v>47</v>
      </c>
      <c r="D77" s="29"/>
      <c r="E77" s="29"/>
      <c r="F77" s="29">
        <v>3</v>
      </c>
      <c r="G77" s="29"/>
      <c r="H77" s="29"/>
      <c r="I77" t="s">
        <v>240</v>
      </c>
    </row>
    <row r="78" spans="2:8" ht="12.75">
      <c r="B78" s="75">
        <v>6</v>
      </c>
      <c r="C78" s="153" t="s">
        <v>46</v>
      </c>
      <c r="D78" s="240"/>
      <c r="E78" s="240"/>
      <c r="F78" s="240"/>
      <c r="G78" s="240"/>
      <c r="H78" s="274">
        <v>3</v>
      </c>
    </row>
    <row r="79" spans="2:8" ht="12.75">
      <c r="B79" s="75">
        <v>5</v>
      </c>
      <c r="C79" s="99" t="s">
        <v>41</v>
      </c>
      <c r="D79" s="29">
        <v>2</v>
      </c>
      <c r="E79" s="29"/>
      <c r="F79" s="29"/>
      <c r="G79" s="29"/>
      <c r="H79" s="274">
        <v>2</v>
      </c>
    </row>
    <row r="80" spans="1:8" ht="3.75" customHeight="1">
      <c r="A80" s="54"/>
      <c r="B80" s="246"/>
      <c r="C80" s="54"/>
      <c r="D80" s="275"/>
      <c r="E80" s="246"/>
      <c r="F80" s="246"/>
      <c r="G80" s="246"/>
      <c r="H80" s="246"/>
    </row>
    <row r="81" spans="1:9" ht="12.75">
      <c r="A81" t="s">
        <v>176</v>
      </c>
      <c r="B81" s="158">
        <v>6</v>
      </c>
      <c r="C81" s="89" t="s">
        <v>37</v>
      </c>
      <c r="D81" s="29">
        <v>1</v>
      </c>
      <c r="E81" s="29"/>
      <c r="F81" s="29"/>
      <c r="G81" s="29"/>
      <c r="H81" s="29"/>
      <c r="I81" t="s">
        <v>241</v>
      </c>
    </row>
    <row r="82" spans="1:8" ht="12.75">
      <c r="A82" t="s">
        <v>183</v>
      </c>
      <c r="B82" s="158">
        <v>5</v>
      </c>
      <c r="C82" s="89" t="s">
        <v>36</v>
      </c>
      <c r="D82" s="29">
        <v>1</v>
      </c>
      <c r="E82" s="29"/>
      <c r="F82" s="29"/>
      <c r="G82" s="29"/>
      <c r="H82" s="29"/>
    </row>
    <row r="83" spans="2:8" ht="12.75">
      <c r="B83" s="158">
        <v>12</v>
      </c>
      <c r="C83" s="89" t="s">
        <v>44</v>
      </c>
      <c r="D83" s="29">
        <v>4</v>
      </c>
      <c r="E83" s="29"/>
      <c r="F83" s="29"/>
      <c r="G83" s="29"/>
      <c r="H83" s="29"/>
    </row>
    <row r="84" spans="2:8" ht="13.5" thickBot="1">
      <c r="B84" s="276"/>
      <c r="C84" s="57"/>
      <c r="D84" s="246"/>
      <c r="E84" s="246"/>
      <c r="F84" s="275"/>
      <c r="G84" s="246"/>
      <c r="H84" s="246"/>
    </row>
    <row r="85" spans="1:9" ht="12.75">
      <c r="A85" s="277" t="s">
        <v>130</v>
      </c>
      <c r="B85" s="29">
        <v>1</v>
      </c>
      <c r="C85" s="89" t="s">
        <v>45</v>
      </c>
      <c r="D85" s="29"/>
      <c r="E85" s="29"/>
      <c r="F85" s="29">
        <v>1</v>
      </c>
      <c r="G85" s="29"/>
      <c r="H85" s="29"/>
      <c r="I85" t="s">
        <v>242</v>
      </c>
    </row>
    <row r="86" spans="1:8" ht="13.5" thickBot="1">
      <c r="A86" s="257">
        <f>SUM(D81:D98)+SUM(E81:E98)+SUM(F81:F98)+SUM(G81:G98)+SUM(H81:H98)</f>
        <v>20</v>
      </c>
      <c r="B86" s="158">
        <v>2</v>
      </c>
      <c r="C86" s="89" t="s">
        <v>32</v>
      </c>
      <c r="D86" s="29"/>
      <c r="E86" s="29"/>
      <c r="F86" s="278">
        <v>2</v>
      </c>
      <c r="G86" s="29"/>
      <c r="H86" s="29"/>
    </row>
    <row r="87" spans="2:8" ht="12.75">
      <c r="B87" s="158">
        <v>7</v>
      </c>
      <c r="C87" s="89" t="s">
        <v>38</v>
      </c>
      <c r="D87" s="29"/>
      <c r="E87" s="29"/>
      <c r="F87" s="279">
        <v>1</v>
      </c>
      <c r="G87" s="29"/>
      <c r="H87" s="29"/>
    </row>
    <row r="88" spans="2:8" ht="12.75">
      <c r="B88" s="158">
        <v>4</v>
      </c>
      <c r="C88" s="89" t="s">
        <v>35</v>
      </c>
      <c r="D88" s="29"/>
      <c r="E88" s="29"/>
      <c r="F88" s="280"/>
      <c r="G88" s="29"/>
      <c r="H88" s="29"/>
    </row>
    <row r="89" spans="2:8" ht="3.75" customHeight="1">
      <c r="B89" s="276"/>
      <c r="C89" s="57"/>
      <c r="D89" s="246"/>
      <c r="E89" s="246"/>
      <c r="F89" s="246"/>
      <c r="G89" s="246"/>
      <c r="H89" s="246"/>
    </row>
    <row r="90" spans="2:9" ht="12.75">
      <c r="B90" s="29">
        <v>1</v>
      </c>
      <c r="C90" s="89" t="s">
        <v>45</v>
      </c>
      <c r="D90" s="29"/>
      <c r="E90" s="29"/>
      <c r="F90" s="29"/>
      <c r="G90" s="29"/>
      <c r="H90" s="29"/>
      <c r="I90" t="s">
        <v>243</v>
      </c>
    </row>
    <row r="91" spans="2:8" ht="12.75">
      <c r="B91" s="158">
        <v>3</v>
      </c>
      <c r="C91" s="89" t="s">
        <v>33</v>
      </c>
      <c r="D91" s="29"/>
      <c r="E91" s="29">
        <v>1</v>
      </c>
      <c r="F91" s="29"/>
      <c r="G91" s="29"/>
      <c r="H91" s="29"/>
    </row>
    <row r="92" spans="2:8" ht="12.75">
      <c r="B92" s="158">
        <v>9</v>
      </c>
      <c r="C92" s="89" t="s">
        <v>40</v>
      </c>
      <c r="D92" s="29"/>
      <c r="E92" s="281">
        <v>3</v>
      </c>
      <c r="F92" s="29"/>
      <c r="G92" s="29"/>
      <c r="H92" s="29"/>
    </row>
    <row r="93" spans="2:8" ht="12.75">
      <c r="B93" s="158">
        <v>8</v>
      </c>
      <c r="C93" s="89" t="s">
        <v>39</v>
      </c>
      <c r="D93" s="29"/>
      <c r="E93" s="282"/>
      <c r="F93" s="29"/>
      <c r="G93" s="29"/>
      <c r="H93" s="29"/>
    </row>
    <row r="94" spans="2:9" ht="12.75">
      <c r="B94" s="158">
        <v>12</v>
      </c>
      <c r="C94" s="89" t="s">
        <v>44</v>
      </c>
      <c r="D94" s="29"/>
      <c r="E94" s="29">
        <v>1</v>
      </c>
      <c r="F94" s="29"/>
      <c r="G94" s="29"/>
      <c r="H94" s="29"/>
      <c r="I94" t="s">
        <v>244</v>
      </c>
    </row>
    <row r="95" ht="3.75" customHeight="1"/>
    <row r="96" spans="2:8" ht="12.75">
      <c r="B96" s="158">
        <v>13</v>
      </c>
      <c r="C96" s="283" t="s">
        <v>48</v>
      </c>
      <c r="D96" s="29"/>
      <c r="E96" s="29"/>
      <c r="F96" s="29"/>
      <c r="G96" s="29">
        <v>2</v>
      </c>
      <c r="H96" s="29"/>
    </row>
    <row r="97" spans="2:8" ht="12.75">
      <c r="B97" s="158">
        <v>11</v>
      </c>
      <c r="C97" s="283" t="s">
        <v>43</v>
      </c>
      <c r="D97" s="29"/>
      <c r="E97" s="29"/>
      <c r="F97" s="29"/>
      <c r="G97" s="29">
        <v>2</v>
      </c>
      <c r="H97" s="29"/>
    </row>
    <row r="98" spans="2:8" ht="12.75">
      <c r="B98" s="158">
        <v>10</v>
      </c>
      <c r="C98" s="283" t="s">
        <v>42</v>
      </c>
      <c r="D98" s="29"/>
      <c r="E98" s="29"/>
      <c r="F98" s="29"/>
      <c r="G98" s="29">
        <v>1</v>
      </c>
      <c r="H98" s="29"/>
    </row>
  </sheetData>
  <mergeCells count="9">
    <mergeCell ref="E92:E93"/>
    <mergeCell ref="A1:H1"/>
    <mergeCell ref="A19:H19"/>
    <mergeCell ref="A33:H33"/>
    <mergeCell ref="D68:H69"/>
    <mergeCell ref="F87:F88"/>
    <mergeCell ref="A49:H49"/>
    <mergeCell ref="A58:H58"/>
    <mergeCell ref="A71:H71"/>
  </mergeCells>
  <printOptions/>
  <pageMargins left="0.7874015748031497" right="0.7874015748031497" top="0.84" bottom="1.33" header="0.3937007874015748" footer="0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64">
      <selection activeCell="O21" sqref="O21"/>
    </sheetView>
  </sheetViews>
  <sheetFormatPr defaultColWidth="9.140625" defaultRowHeight="12.75"/>
  <cols>
    <col min="1" max="1" width="14.28125" style="0" bestFit="1" customWidth="1"/>
    <col min="2" max="2" width="19.8515625" style="0" bestFit="1" customWidth="1"/>
    <col min="3" max="3" width="20.28125" style="0" bestFit="1" customWidth="1"/>
    <col min="4" max="4" width="7.28125" style="0" bestFit="1" customWidth="1"/>
    <col min="8" max="8" width="9.00390625" style="0" customWidth="1"/>
  </cols>
  <sheetData>
    <row r="1" spans="1:8" ht="12.75">
      <c r="A1" s="273" t="s">
        <v>2</v>
      </c>
      <c r="B1" s="273"/>
      <c r="C1" s="273"/>
      <c r="D1" s="273"/>
      <c r="E1" s="273"/>
      <c r="F1" s="273"/>
      <c r="G1" s="273"/>
      <c r="H1" s="273"/>
    </row>
    <row r="2" spans="2:8" ht="12.75">
      <c r="B2" s="14" t="s">
        <v>167</v>
      </c>
      <c r="C2" s="14" t="s">
        <v>168</v>
      </c>
      <c r="D2" s="14" t="s">
        <v>169</v>
      </c>
      <c r="E2" s="14" t="s">
        <v>170</v>
      </c>
      <c r="F2" s="14" t="s">
        <v>171</v>
      </c>
      <c r="G2" s="14" t="s">
        <v>172</v>
      </c>
      <c r="H2" s="14" t="s">
        <v>173</v>
      </c>
    </row>
    <row r="3" spans="1:9" ht="13.5" thickBot="1">
      <c r="A3" t="s">
        <v>174</v>
      </c>
      <c r="B3" s="75">
        <v>1</v>
      </c>
      <c r="C3" s="89" t="s">
        <v>6</v>
      </c>
      <c r="D3" s="8">
        <v>2</v>
      </c>
      <c r="E3" s="8"/>
      <c r="F3" s="8">
        <v>3</v>
      </c>
      <c r="G3" s="8">
        <v>2</v>
      </c>
      <c r="H3" s="8">
        <v>3</v>
      </c>
      <c r="I3" t="s">
        <v>245</v>
      </c>
    </row>
    <row r="4" spans="1:9" ht="12.75">
      <c r="A4" s="254" t="s">
        <v>130</v>
      </c>
      <c r="B4" s="255">
        <v>4</v>
      </c>
      <c r="C4" s="89" t="s">
        <v>12</v>
      </c>
      <c r="D4" s="8">
        <v>1</v>
      </c>
      <c r="E4" s="8">
        <v>3</v>
      </c>
      <c r="F4" s="8"/>
      <c r="G4" s="8">
        <v>1</v>
      </c>
      <c r="H4" s="8"/>
      <c r="I4" t="s">
        <v>246</v>
      </c>
    </row>
    <row r="5" ht="13.5" thickBot="1">
      <c r="A5" s="261">
        <f>SUM(D3:D4)+SUM(E3:E4)+SUM(F3:F4)+SUM(G3:G4)+SUM(H3:H4)</f>
        <v>15</v>
      </c>
    </row>
    <row r="7" spans="1:9" ht="13.5" thickBot="1">
      <c r="A7" t="s">
        <v>176</v>
      </c>
      <c r="B7" s="75">
        <v>7</v>
      </c>
      <c r="C7" s="206" t="s">
        <v>8</v>
      </c>
      <c r="D7" s="8">
        <v>3</v>
      </c>
      <c r="E7" s="8"/>
      <c r="F7" s="8"/>
      <c r="G7" s="8"/>
      <c r="H7" s="8">
        <v>3</v>
      </c>
      <c r="I7" t="s">
        <v>209</v>
      </c>
    </row>
    <row r="8" spans="1:8" ht="12.75">
      <c r="A8" s="254" t="s">
        <v>130</v>
      </c>
      <c r="B8" s="75">
        <v>8</v>
      </c>
      <c r="C8" s="206" t="s">
        <v>14</v>
      </c>
      <c r="D8" s="8"/>
      <c r="E8" s="8">
        <v>3</v>
      </c>
      <c r="F8" s="8"/>
      <c r="G8" s="8">
        <v>3</v>
      </c>
      <c r="H8" s="8"/>
    </row>
    <row r="9" spans="1:8" ht="13.5" thickBot="1">
      <c r="A9" s="261">
        <f>SUM(D7:D8)+SUM(E7:E8)+SUM(F7:F8)+SUM(G7:G8)+SUM(H7:H8)</f>
        <v>12</v>
      </c>
      <c r="B9" s="172"/>
      <c r="C9" s="57"/>
      <c r="D9" s="54"/>
      <c r="E9" s="54"/>
      <c r="F9" s="54"/>
      <c r="G9" s="54"/>
      <c r="H9" s="54"/>
    </row>
    <row r="11" spans="1:9" ht="13.5" thickBot="1">
      <c r="A11" t="s">
        <v>180</v>
      </c>
      <c r="B11" s="75">
        <v>2</v>
      </c>
      <c r="C11" s="99" t="s">
        <v>3</v>
      </c>
      <c r="D11" s="8">
        <v>1</v>
      </c>
      <c r="E11" s="8"/>
      <c r="F11" s="8"/>
      <c r="G11" s="8">
        <v>1</v>
      </c>
      <c r="H11" s="8"/>
      <c r="I11" t="s">
        <v>247</v>
      </c>
    </row>
    <row r="12" spans="1:8" ht="12.75">
      <c r="A12" s="254" t="s">
        <v>130</v>
      </c>
      <c r="B12" s="75">
        <v>6</v>
      </c>
      <c r="C12" s="99" t="s">
        <v>4</v>
      </c>
      <c r="D12" s="8">
        <v>2</v>
      </c>
      <c r="E12" s="8"/>
      <c r="F12" s="8"/>
      <c r="G12" s="8">
        <v>2</v>
      </c>
      <c r="H12" s="8"/>
    </row>
    <row r="13" spans="1:3" ht="13.5" thickBot="1">
      <c r="A13" s="261">
        <f>SUM(D11:D15)+SUM(E11:E15)+SUM(F11:F15)+SUM(G11:G15)+SUM(H11:H15)</f>
        <v>15</v>
      </c>
      <c r="B13" s="75"/>
      <c r="C13" s="284"/>
    </row>
    <row r="14" spans="2:9" ht="12.75">
      <c r="B14" s="75">
        <v>3</v>
      </c>
      <c r="C14" s="99" t="s">
        <v>10</v>
      </c>
      <c r="D14" s="8"/>
      <c r="E14" s="8">
        <v>3</v>
      </c>
      <c r="F14" s="8"/>
      <c r="G14" s="8"/>
      <c r="H14" s="8">
        <v>1</v>
      </c>
      <c r="I14" t="s">
        <v>248</v>
      </c>
    </row>
    <row r="15" spans="2:9" ht="12.75">
      <c r="B15" s="75">
        <v>5</v>
      </c>
      <c r="C15" s="99" t="s">
        <v>15</v>
      </c>
      <c r="D15" s="8"/>
      <c r="E15" s="8"/>
      <c r="F15" s="8">
        <v>3</v>
      </c>
      <c r="G15" s="8"/>
      <c r="H15" s="8">
        <v>2</v>
      </c>
      <c r="I15" t="s">
        <v>249</v>
      </c>
    </row>
    <row r="16" spans="2:9" ht="12.75">
      <c r="B16" s="172"/>
      <c r="C16" s="57"/>
      <c r="I16" t="s">
        <v>250</v>
      </c>
    </row>
    <row r="17" spans="2:3" s="130" customFormat="1" ht="12.75">
      <c r="B17" s="259"/>
      <c r="C17" s="57"/>
    </row>
    <row r="18" spans="1:8" ht="12.75">
      <c r="A18" s="273" t="s">
        <v>5</v>
      </c>
      <c r="B18" s="273"/>
      <c r="C18" s="273"/>
      <c r="D18" s="273"/>
      <c r="E18" s="273"/>
      <c r="F18" s="273"/>
      <c r="G18" s="273"/>
      <c r="H18" s="273"/>
    </row>
    <row r="19" spans="2:8" ht="12.75">
      <c r="B19" s="14" t="s">
        <v>167</v>
      </c>
      <c r="C19" s="14" t="s">
        <v>168</v>
      </c>
      <c r="D19" s="14" t="s">
        <v>169</v>
      </c>
      <c r="E19" s="14" t="s">
        <v>170</v>
      </c>
      <c r="F19" s="14" t="s">
        <v>171</v>
      </c>
      <c r="G19" s="14" t="s">
        <v>172</v>
      </c>
      <c r="H19" s="14" t="s">
        <v>173</v>
      </c>
    </row>
    <row r="20" spans="1:9" ht="13.5" thickBot="1">
      <c r="A20" t="s">
        <v>174</v>
      </c>
      <c r="B20" s="75">
        <v>1</v>
      </c>
      <c r="C20" s="99" t="s">
        <v>17</v>
      </c>
      <c r="D20" s="8">
        <v>2</v>
      </c>
      <c r="E20" s="8">
        <v>3</v>
      </c>
      <c r="F20" s="8">
        <v>3</v>
      </c>
      <c r="G20" s="8">
        <v>2</v>
      </c>
      <c r="H20" s="8">
        <v>3</v>
      </c>
      <c r="I20" t="s">
        <v>251</v>
      </c>
    </row>
    <row r="21" spans="1:8" ht="12.75">
      <c r="A21" s="254" t="s">
        <v>130</v>
      </c>
      <c r="B21" s="75">
        <v>7</v>
      </c>
      <c r="C21" s="99" t="s">
        <v>22</v>
      </c>
      <c r="D21" s="8">
        <v>1</v>
      </c>
      <c r="E21" s="8"/>
      <c r="F21" s="8"/>
      <c r="G21" s="8">
        <v>1</v>
      </c>
      <c r="H21" s="8"/>
    </row>
    <row r="22" spans="1:8" ht="13.5" thickBot="1">
      <c r="A22" s="261">
        <f>SUM(D20:D21)+SUM(E20:E21)+SUM(F20:F21)+SUM(G20:G21)+SUM(H20:H21)</f>
        <v>15</v>
      </c>
      <c r="B22" s="172"/>
      <c r="C22" s="57"/>
      <c r="D22" s="54"/>
      <c r="E22" s="54"/>
      <c r="F22" s="54"/>
      <c r="G22" s="54"/>
      <c r="H22" s="54"/>
    </row>
    <row r="24" spans="1:9" ht="13.5" thickBot="1">
      <c r="A24" t="s">
        <v>176</v>
      </c>
      <c r="B24" s="75">
        <v>2</v>
      </c>
      <c r="C24" s="89" t="s">
        <v>16</v>
      </c>
      <c r="D24" s="8">
        <v>1</v>
      </c>
      <c r="E24" s="8">
        <v>1</v>
      </c>
      <c r="F24" s="8">
        <v>2</v>
      </c>
      <c r="G24" s="8">
        <v>1</v>
      </c>
      <c r="H24" s="8">
        <v>1</v>
      </c>
      <c r="I24" t="s">
        <v>252</v>
      </c>
    </row>
    <row r="25" spans="1:9" ht="12.75">
      <c r="A25" s="254" t="s">
        <v>130</v>
      </c>
      <c r="B25" s="75">
        <v>4</v>
      </c>
      <c r="C25" s="89" t="s">
        <v>19</v>
      </c>
      <c r="D25" s="8">
        <v>1</v>
      </c>
      <c r="E25" s="8"/>
      <c r="F25" s="8">
        <v>1</v>
      </c>
      <c r="G25" s="8"/>
      <c r="H25" s="8">
        <v>1</v>
      </c>
      <c r="I25" t="s">
        <v>184</v>
      </c>
    </row>
    <row r="26" spans="1:9" ht="13.5" thickBot="1">
      <c r="A26" s="261">
        <f>SUM(D24:D26)+SUM(E24:E26)+SUM(F24:F26)+SUM(G24:G26)+SUM(H24:H26)</f>
        <v>14</v>
      </c>
      <c r="B26" s="75">
        <v>6</v>
      </c>
      <c r="C26" s="89" t="s">
        <v>21</v>
      </c>
      <c r="D26" s="8">
        <v>1</v>
      </c>
      <c r="E26" s="8">
        <v>2</v>
      </c>
      <c r="F26" s="8"/>
      <c r="G26" s="8">
        <v>1</v>
      </c>
      <c r="H26" s="8">
        <v>1</v>
      </c>
      <c r="I26" t="s">
        <v>253</v>
      </c>
    </row>
    <row r="27" ht="12.75">
      <c r="I27" t="s">
        <v>185</v>
      </c>
    </row>
    <row r="28" ht="12.75">
      <c r="I28" t="s">
        <v>254</v>
      </c>
    </row>
    <row r="29" ht="12.75">
      <c r="I29" t="s">
        <v>186</v>
      </c>
    </row>
    <row r="30" ht="12.75">
      <c r="I30" t="s">
        <v>255</v>
      </c>
    </row>
    <row r="31" spans="1:8" ht="12.75">
      <c r="A31" s="273" t="s">
        <v>7</v>
      </c>
      <c r="B31" s="273"/>
      <c r="C31" s="273"/>
      <c r="D31" s="273"/>
      <c r="E31" s="273"/>
      <c r="F31" s="273"/>
      <c r="G31" s="273"/>
      <c r="H31" s="273"/>
    </row>
    <row r="32" spans="2:8" ht="12.75">
      <c r="B32" s="14" t="s">
        <v>167</v>
      </c>
      <c r="C32" s="14" t="s">
        <v>168</v>
      </c>
      <c r="D32" s="14" t="s">
        <v>169</v>
      </c>
      <c r="E32" s="14" t="s">
        <v>170</v>
      </c>
      <c r="F32" s="14" t="s">
        <v>171</v>
      </c>
      <c r="G32" s="14" t="s">
        <v>172</v>
      </c>
      <c r="H32" s="14" t="s">
        <v>173</v>
      </c>
    </row>
    <row r="33" spans="1:9" ht="13.5" thickBot="1">
      <c r="A33" t="s">
        <v>174</v>
      </c>
      <c r="B33" s="75">
        <v>1</v>
      </c>
      <c r="C33" s="206" t="s">
        <v>26</v>
      </c>
      <c r="D33" s="8">
        <v>2</v>
      </c>
      <c r="E33" s="8">
        <v>3</v>
      </c>
      <c r="F33" s="8">
        <v>3</v>
      </c>
      <c r="G33" s="8">
        <v>2</v>
      </c>
      <c r="H33" s="8">
        <v>3</v>
      </c>
      <c r="I33" t="s">
        <v>256</v>
      </c>
    </row>
    <row r="34" spans="1:9" ht="12.75">
      <c r="A34" s="254" t="s">
        <v>130</v>
      </c>
      <c r="B34" s="75">
        <v>2</v>
      </c>
      <c r="C34" s="206" t="s">
        <v>23</v>
      </c>
      <c r="D34" s="8">
        <v>1</v>
      </c>
      <c r="E34" s="8"/>
      <c r="F34" s="8"/>
      <c r="G34" s="8">
        <v>1</v>
      </c>
      <c r="H34" s="8"/>
      <c r="I34" t="s">
        <v>257</v>
      </c>
    </row>
    <row r="35" ht="13.5" thickBot="1">
      <c r="A35" s="261">
        <f>SUM(D33:D34)+SUM(E33:E34)+SUM(F33:F34)+SUM(G33:G34)+SUM(H33:H34)</f>
        <v>15</v>
      </c>
    </row>
    <row r="36" ht="12.75">
      <c r="A36" s="54"/>
    </row>
    <row r="37" spans="1:9" ht="13.5" thickBot="1">
      <c r="A37" t="s">
        <v>176</v>
      </c>
      <c r="B37" s="75">
        <v>3</v>
      </c>
      <c r="C37" s="99" t="s">
        <v>24</v>
      </c>
      <c r="D37" s="8"/>
      <c r="E37" s="8">
        <v>1</v>
      </c>
      <c r="F37" s="8"/>
      <c r="G37" s="8">
        <v>1</v>
      </c>
      <c r="H37" s="8"/>
      <c r="I37" t="s">
        <v>258</v>
      </c>
    </row>
    <row r="38" spans="1:9" ht="12.75">
      <c r="A38" s="254" t="s">
        <v>130</v>
      </c>
      <c r="B38" s="75">
        <v>5</v>
      </c>
      <c r="C38" s="99" t="s">
        <v>27</v>
      </c>
      <c r="D38" s="8">
        <v>2</v>
      </c>
      <c r="E38" s="8">
        <v>2</v>
      </c>
      <c r="F38" s="8">
        <v>2</v>
      </c>
      <c r="G38" s="8">
        <v>2</v>
      </c>
      <c r="H38" s="8">
        <v>1</v>
      </c>
      <c r="I38" t="s">
        <v>259</v>
      </c>
    </row>
    <row r="39" spans="1:9" ht="13.5" thickBot="1">
      <c r="A39" s="261">
        <f>SUM(D37:D39)+SUM(E37:E39)+SUM(F37:F39)+SUM(G37:G39)+SUM(H37:H39)</f>
        <v>15</v>
      </c>
      <c r="B39" s="75">
        <v>6</v>
      </c>
      <c r="C39" s="99" t="s">
        <v>28</v>
      </c>
      <c r="D39" s="8">
        <v>1</v>
      </c>
      <c r="E39" s="8"/>
      <c r="F39" s="8">
        <v>1</v>
      </c>
      <c r="G39" s="8"/>
      <c r="H39" s="8">
        <v>2</v>
      </c>
      <c r="I39" t="s">
        <v>260</v>
      </c>
    </row>
    <row r="40" spans="2:9" ht="12.75">
      <c r="B40" s="172"/>
      <c r="C40" s="57"/>
      <c r="I40" t="s">
        <v>261</v>
      </c>
    </row>
    <row r="42" spans="1:9" ht="13.5" thickBot="1">
      <c r="A42" t="s">
        <v>180</v>
      </c>
      <c r="B42" s="285">
        <v>1</v>
      </c>
      <c r="C42" s="89" t="s">
        <v>26</v>
      </c>
      <c r="D42" s="8">
        <v>1</v>
      </c>
      <c r="E42" s="8"/>
      <c r="F42" s="8">
        <v>3</v>
      </c>
      <c r="G42" s="8"/>
      <c r="H42" s="8">
        <v>2</v>
      </c>
      <c r="I42" t="s">
        <v>262</v>
      </c>
    </row>
    <row r="43" spans="1:9" ht="12.75">
      <c r="A43" s="254" t="s">
        <v>130</v>
      </c>
      <c r="B43" s="75">
        <v>4</v>
      </c>
      <c r="C43" s="89" t="s">
        <v>25</v>
      </c>
      <c r="D43" s="8">
        <v>1</v>
      </c>
      <c r="E43" s="8">
        <v>2</v>
      </c>
      <c r="F43" s="8"/>
      <c r="G43" s="8">
        <v>2</v>
      </c>
      <c r="H43" s="8">
        <v>1</v>
      </c>
      <c r="I43" t="s">
        <v>263</v>
      </c>
    </row>
    <row r="44" spans="1:8" ht="13.5" thickBot="1">
      <c r="A44" s="261">
        <f>SUM(D42:D44)+SUM(E42:E44)+SUM(F42:F44)+SUM(G42:G44)+SUM(H42:H44)</f>
        <v>15</v>
      </c>
      <c r="B44" s="75">
        <v>7</v>
      </c>
      <c r="C44" s="89" t="s">
        <v>29</v>
      </c>
      <c r="D44" s="8">
        <v>1</v>
      </c>
      <c r="E44" s="8">
        <v>1</v>
      </c>
      <c r="F44" s="8"/>
      <c r="G44" s="8">
        <v>1</v>
      </c>
      <c r="H44" s="8"/>
    </row>
    <row r="45" spans="2:3" ht="12.75">
      <c r="B45" s="172"/>
      <c r="C45" s="57"/>
    </row>
    <row r="46" spans="1:9" ht="13.5" thickBot="1">
      <c r="A46" t="s">
        <v>187</v>
      </c>
      <c r="B46" s="286">
        <v>1</v>
      </c>
      <c r="C46" s="100" t="s">
        <v>26</v>
      </c>
      <c r="D46" s="8">
        <v>2</v>
      </c>
      <c r="E46" s="8">
        <v>3</v>
      </c>
      <c r="F46" s="8">
        <v>3</v>
      </c>
      <c r="G46" s="8"/>
      <c r="H46" s="8">
        <v>3</v>
      </c>
      <c r="I46" t="s">
        <v>264</v>
      </c>
    </row>
    <row r="47" spans="1:8" ht="12.75">
      <c r="A47" s="254" t="s">
        <v>130</v>
      </c>
      <c r="B47" s="75" t="s">
        <v>188</v>
      </c>
      <c r="C47" s="258" t="s">
        <v>31</v>
      </c>
      <c r="D47" s="8">
        <v>1</v>
      </c>
      <c r="E47" s="8"/>
      <c r="F47" s="8"/>
      <c r="G47" s="8">
        <v>3</v>
      </c>
      <c r="H47" s="8"/>
    </row>
    <row r="48" ht="13.5" thickBot="1">
      <c r="A48" s="261">
        <f>SUM(D46:D47)+SUM(E46:E47)+SUM(F46:F47)+SUM(G46:G47)+SUM(H46:H47)</f>
        <v>15</v>
      </c>
    </row>
    <row r="49" ht="12.75">
      <c r="A49" s="54"/>
    </row>
    <row r="50" spans="1:8" ht="12.75">
      <c r="A50" s="273" t="s">
        <v>9</v>
      </c>
      <c r="B50" s="273"/>
      <c r="C50" s="273"/>
      <c r="D50" s="273"/>
      <c r="E50" s="273"/>
      <c r="F50" s="273"/>
      <c r="G50" s="273"/>
      <c r="H50" s="273"/>
    </row>
    <row r="51" spans="2:8" ht="12.75">
      <c r="B51" s="14" t="s">
        <v>167</v>
      </c>
      <c r="C51" s="14" t="s">
        <v>168</v>
      </c>
      <c r="D51" s="14" t="s">
        <v>169</v>
      </c>
      <c r="E51" s="14" t="s">
        <v>170</v>
      </c>
      <c r="F51" s="14" t="s">
        <v>171</v>
      </c>
      <c r="G51" s="14" t="s">
        <v>172</v>
      </c>
      <c r="H51" s="14" t="s">
        <v>173</v>
      </c>
    </row>
    <row r="52" spans="1:9" ht="13.5" thickBot="1">
      <c r="A52" t="s">
        <v>174</v>
      </c>
      <c r="B52" s="75">
        <v>4</v>
      </c>
      <c r="C52" s="206" t="s">
        <v>34</v>
      </c>
      <c r="D52" s="272">
        <v>3</v>
      </c>
      <c r="E52" s="8"/>
      <c r="F52" s="8"/>
      <c r="G52" s="272">
        <v>3</v>
      </c>
      <c r="H52" s="8"/>
      <c r="I52" t="s">
        <v>265</v>
      </c>
    </row>
    <row r="53" spans="1:8" ht="12.75">
      <c r="A53" s="254" t="s">
        <v>130</v>
      </c>
      <c r="B53" s="75">
        <v>2</v>
      </c>
      <c r="C53" s="206" t="s">
        <v>30</v>
      </c>
      <c r="D53" s="272"/>
      <c r="E53" s="8"/>
      <c r="F53" s="8"/>
      <c r="G53" s="272"/>
      <c r="H53" s="8">
        <v>1</v>
      </c>
    </row>
    <row r="54" spans="1:9" ht="13.5" thickBot="1">
      <c r="A54" s="261">
        <f>SUM(D52:D55)+SUM(E52:E55)+SUM(F52:F55)+SUM(G52:G55)+SUM(H52:H55)</f>
        <v>15</v>
      </c>
      <c r="B54" s="75">
        <v>7</v>
      </c>
      <c r="C54" s="206" t="s">
        <v>47</v>
      </c>
      <c r="D54" s="8"/>
      <c r="E54" s="272">
        <v>3</v>
      </c>
      <c r="F54" s="272">
        <v>3</v>
      </c>
      <c r="G54" s="8"/>
      <c r="H54" s="272">
        <v>2</v>
      </c>
      <c r="I54" t="s">
        <v>266</v>
      </c>
    </row>
    <row r="55" spans="2:9" ht="12.75">
      <c r="B55" s="75">
        <v>6</v>
      </c>
      <c r="C55" s="206" t="s">
        <v>46</v>
      </c>
      <c r="D55" s="8"/>
      <c r="E55" s="272"/>
      <c r="F55" s="272"/>
      <c r="G55" s="8"/>
      <c r="H55" s="272"/>
      <c r="I55" t="s">
        <v>267</v>
      </c>
    </row>
    <row r="56" spans="2:9" ht="12.75">
      <c r="B56" s="172"/>
      <c r="C56" s="57"/>
      <c r="I56" t="s">
        <v>189</v>
      </c>
    </row>
    <row r="57" spans="2:9" ht="12.75">
      <c r="B57" s="172"/>
      <c r="C57" s="57"/>
      <c r="I57" t="s">
        <v>268</v>
      </c>
    </row>
    <row r="59" spans="1:9" ht="13.5" thickBot="1">
      <c r="A59" t="s">
        <v>176</v>
      </c>
      <c r="B59" s="75">
        <v>1</v>
      </c>
      <c r="C59" s="104" t="s">
        <v>45</v>
      </c>
      <c r="D59" s="8">
        <v>1</v>
      </c>
      <c r="E59" s="8">
        <v>2</v>
      </c>
      <c r="F59" s="8"/>
      <c r="G59" s="8">
        <v>2</v>
      </c>
      <c r="H59" s="8">
        <v>1</v>
      </c>
      <c r="I59" t="s">
        <v>269</v>
      </c>
    </row>
    <row r="60" spans="1:9" ht="12.75">
      <c r="A60" s="254" t="s">
        <v>130</v>
      </c>
      <c r="B60" s="75">
        <v>5</v>
      </c>
      <c r="C60" s="104" t="s">
        <v>41</v>
      </c>
      <c r="D60" s="8">
        <v>1</v>
      </c>
      <c r="E60" s="8"/>
      <c r="F60" s="8">
        <v>1</v>
      </c>
      <c r="G60" s="8"/>
      <c r="H60" s="8">
        <v>2</v>
      </c>
      <c r="I60" t="s">
        <v>270</v>
      </c>
    </row>
    <row r="61" spans="1:9" ht="13.5" thickBot="1">
      <c r="A61" s="261">
        <f>SUM(D59:D61)+SUM(E59:E61)+SUM(F59:F61)+SUM(G59:G61)+SUM(H59:H61)</f>
        <v>15</v>
      </c>
      <c r="B61" s="18">
        <v>8</v>
      </c>
      <c r="C61" s="104" t="s">
        <v>44</v>
      </c>
      <c r="D61" s="8">
        <v>1</v>
      </c>
      <c r="E61" s="8">
        <v>1</v>
      </c>
      <c r="F61" s="8">
        <v>2</v>
      </c>
      <c r="G61" s="8">
        <v>1</v>
      </c>
      <c r="H61" s="8"/>
      <c r="I61" t="s">
        <v>271</v>
      </c>
    </row>
    <row r="63" spans="1:9" ht="13.5" thickBot="1">
      <c r="A63" t="s">
        <v>180</v>
      </c>
      <c r="B63" s="158">
        <v>2</v>
      </c>
      <c r="C63" s="99" t="s">
        <v>32</v>
      </c>
      <c r="D63" s="8">
        <v>1</v>
      </c>
      <c r="E63" s="8"/>
      <c r="F63" s="8"/>
      <c r="G63" s="8"/>
      <c r="H63" s="8">
        <v>1</v>
      </c>
      <c r="I63" t="s">
        <v>272</v>
      </c>
    </row>
    <row r="64" spans="1:8" ht="12.75">
      <c r="A64" s="254" t="s">
        <v>130</v>
      </c>
      <c r="B64" s="158">
        <v>8</v>
      </c>
      <c r="C64" s="112" t="s">
        <v>39</v>
      </c>
      <c r="D64" s="281">
        <v>2</v>
      </c>
      <c r="E64" s="8"/>
      <c r="F64" s="8"/>
      <c r="G64" s="8"/>
      <c r="H64" s="281">
        <v>2</v>
      </c>
    </row>
    <row r="65" spans="1:8" ht="13.5" thickBot="1">
      <c r="A65" s="261">
        <f>SUM(D63:D76)+SUM(E63:E76)+SUM(F63:F76)+SUM(G63:G76)+SUM(H63:H76)</f>
        <v>15</v>
      </c>
      <c r="B65" s="158">
        <v>5</v>
      </c>
      <c r="C65" s="112" t="s">
        <v>36</v>
      </c>
      <c r="D65" s="282"/>
      <c r="E65" s="8"/>
      <c r="F65" s="8"/>
      <c r="G65" s="8"/>
      <c r="H65" s="282"/>
    </row>
    <row r="67" spans="2:9" ht="12.75">
      <c r="B67" s="158">
        <v>3</v>
      </c>
      <c r="C67" s="112" t="s">
        <v>33</v>
      </c>
      <c r="D67" s="8"/>
      <c r="E67" s="8">
        <v>1</v>
      </c>
      <c r="F67" s="8"/>
      <c r="G67" s="8"/>
      <c r="H67" s="8"/>
      <c r="I67" t="s">
        <v>273</v>
      </c>
    </row>
    <row r="68" spans="2:8" ht="12.75">
      <c r="B68" s="158">
        <v>9</v>
      </c>
      <c r="C68" s="112" t="s">
        <v>40</v>
      </c>
      <c r="D68" s="8"/>
      <c r="E68" s="8">
        <v>1</v>
      </c>
      <c r="F68" s="8"/>
      <c r="G68" s="8"/>
      <c r="H68" s="8"/>
    </row>
    <row r="69" spans="2:8" ht="12.75">
      <c r="B69" s="158">
        <v>6</v>
      </c>
      <c r="C69" s="112" t="s">
        <v>37</v>
      </c>
      <c r="D69" s="8"/>
      <c r="E69" s="8">
        <v>1</v>
      </c>
      <c r="F69" s="8"/>
      <c r="G69" s="8"/>
      <c r="H69" s="8"/>
    </row>
    <row r="71" spans="2:9" ht="12.75">
      <c r="B71" s="158">
        <v>4</v>
      </c>
      <c r="C71" s="112" t="s">
        <v>35</v>
      </c>
      <c r="D71" s="8"/>
      <c r="E71" s="8"/>
      <c r="F71" s="8">
        <v>1</v>
      </c>
      <c r="G71" s="8"/>
      <c r="H71" s="8"/>
      <c r="I71" t="s">
        <v>274</v>
      </c>
    </row>
    <row r="72" spans="2:9" ht="12.75">
      <c r="B72" s="158">
        <v>13</v>
      </c>
      <c r="C72" s="99" t="s">
        <v>48</v>
      </c>
      <c r="D72" s="8"/>
      <c r="E72" s="8"/>
      <c r="F72" s="8">
        <v>1</v>
      </c>
      <c r="G72" s="8"/>
      <c r="H72" s="8"/>
      <c r="I72" t="s">
        <v>190</v>
      </c>
    </row>
    <row r="73" spans="2:8" ht="12.75">
      <c r="B73" s="158">
        <v>7</v>
      </c>
      <c r="C73" s="112" t="s">
        <v>38</v>
      </c>
      <c r="D73" s="8"/>
      <c r="E73" s="8"/>
      <c r="F73" s="8">
        <v>1</v>
      </c>
      <c r="G73" s="8"/>
      <c r="H73" s="8"/>
    </row>
    <row r="75" spans="2:9" ht="12.75">
      <c r="B75" s="158">
        <v>10</v>
      </c>
      <c r="C75" s="112" t="s">
        <v>42</v>
      </c>
      <c r="D75" s="8"/>
      <c r="E75" s="8"/>
      <c r="F75" s="8"/>
      <c r="G75" s="8">
        <v>1</v>
      </c>
      <c r="H75" s="8"/>
      <c r="I75" t="s">
        <v>275</v>
      </c>
    </row>
    <row r="76" spans="2:8" ht="12.75">
      <c r="B76" s="158">
        <v>11</v>
      </c>
      <c r="C76" s="112" t="s">
        <v>43</v>
      </c>
      <c r="D76" s="8"/>
      <c r="E76" s="8"/>
      <c r="F76" s="8"/>
      <c r="G76" s="8">
        <v>2</v>
      </c>
      <c r="H76" s="8"/>
    </row>
    <row r="78" spans="1:8" ht="12.75">
      <c r="A78" s="273" t="s">
        <v>11</v>
      </c>
      <c r="B78" s="273"/>
      <c r="C78" s="273"/>
      <c r="D78" s="273"/>
      <c r="E78" s="273"/>
      <c r="F78" s="273"/>
      <c r="G78" s="273"/>
      <c r="H78" s="273"/>
    </row>
    <row r="79" spans="2:8" ht="12.75">
      <c r="B79" s="14" t="s">
        <v>167</v>
      </c>
      <c r="C79" s="14" t="s">
        <v>168</v>
      </c>
      <c r="D79" s="14" t="s">
        <v>169</v>
      </c>
      <c r="E79" s="14" t="s">
        <v>170</v>
      </c>
      <c r="F79" s="14" t="s">
        <v>171</v>
      </c>
      <c r="G79" s="14" t="s">
        <v>172</v>
      </c>
      <c r="H79" s="14" t="s">
        <v>173</v>
      </c>
    </row>
    <row r="80" spans="1:9" ht="13.5" thickBot="1">
      <c r="A80" t="s">
        <v>174</v>
      </c>
      <c r="B80" s="75">
        <v>1</v>
      </c>
      <c r="C80" s="89" t="s">
        <v>49</v>
      </c>
      <c r="D80" s="99">
        <v>1</v>
      </c>
      <c r="E80" s="8">
        <v>1</v>
      </c>
      <c r="F80" s="8"/>
      <c r="G80" s="8"/>
      <c r="H80" s="8">
        <v>2</v>
      </c>
      <c r="I80" t="s">
        <v>276</v>
      </c>
    </row>
    <row r="81" spans="1:9" ht="12.75">
      <c r="A81" s="254" t="s">
        <v>130</v>
      </c>
      <c r="B81" s="75">
        <v>2</v>
      </c>
      <c r="C81" s="104" t="s">
        <v>50</v>
      </c>
      <c r="D81" s="99">
        <v>2</v>
      </c>
      <c r="E81" s="8"/>
      <c r="F81" s="8"/>
      <c r="G81" s="8">
        <v>3</v>
      </c>
      <c r="H81" s="8"/>
      <c r="I81" t="s">
        <v>277</v>
      </c>
    </row>
    <row r="82" spans="1:9" ht="13.5" thickBot="1">
      <c r="A82" s="261">
        <f>SUM(D80:D82)+SUM(E80:E82)+SUM(F80:F82)+SUM(G80:G82)+SUM(H80:H82)</f>
        <v>11</v>
      </c>
      <c r="B82" s="75">
        <v>4</v>
      </c>
      <c r="C82" s="104" t="s">
        <v>52</v>
      </c>
      <c r="D82" s="99"/>
      <c r="E82" s="8">
        <v>2</v>
      </c>
      <c r="F82" s="8"/>
      <c r="G82" s="8"/>
      <c r="H82" s="8"/>
      <c r="I82" t="s">
        <v>278</v>
      </c>
    </row>
    <row r="85" spans="1:9" ht="13.5" thickBot="1">
      <c r="A85" t="s">
        <v>176</v>
      </c>
      <c r="B85" s="75">
        <v>5</v>
      </c>
      <c r="C85" s="112" t="s">
        <v>53</v>
      </c>
      <c r="D85" s="89">
        <v>1</v>
      </c>
      <c r="E85" s="8"/>
      <c r="F85" s="8">
        <v>0</v>
      </c>
      <c r="G85" s="8">
        <v>3</v>
      </c>
      <c r="H85" s="8"/>
      <c r="I85" t="s">
        <v>279</v>
      </c>
    </row>
    <row r="86" spans="1:9" ht="12.75">
      <c r="A86" s="254" t="s">
        <v>130</v>
      </c>
      <c r="B86" s="75">
        <v>6</v>
      </c>
      <c r="C86" s="99" t="s">
        <v>54</v>
      </c>
      <c r="D86" s="89">
        <v>1</v>
      </c>
      <c r="E86" s="8">
        <v>3</v>
      </c>
      <c r="F86" s="8">
        <v>1</v>
      </c>
      <c r="G86" s="8"/>
      <c r="H86" s="8"/>
      <c r="I86" t="s">
        <v>280</v>
      </c>
    </row>
    <row r="87" spans="1:9" ht="13.5" thickBot="1">
      <c r="A87" s="261">
        <f>SUM(D85:D87)+SUM(E85:E87)+SUM(F85:F87)+SUM(G85:G87)+SUM(H85:H87)</f>
        <v>12</v>
      </c>
      <c r="B87" s="75">
        <v>3</v>
      </c>
      <c r="C87" s="112" t="s">
        <v>51</v>
      </c>
      <c r="D87" s="89">
        <v>1</v>
      </c>
      <c r="E87" s="8"/>
      <c r="F87" s="8">
        <v>2</v>
      </c>
      <c r="G87" s="8"/>
      <c r="H87" s="8"/>
      <c r="I87" t="s">
        <v>281</v>
      </c>
    </row>
    <row r="88" ht="12.75">
      <c r="I88" t="s">
        <v>282</v>
      </c>
    </row>
    <row r="89" ht="12.75">
      <c r="I89" t="s">
        <v>191</v>
      </c>
    </row>
    <row r="91" spans="1:8" ht="12.75">
      <c r="A91" s="273" t="s">
        <v>13</v>
      </c>
      <c r="B91" s="273"/>
      <c r="C91" s="273"/>
      <c r="D91" s="273"/>
      <c r="E91" s="273"/>
      <c r="F91" s="273"/>
      <c r="G91" s="273"/>
      <c r="H91" s="273"/>
    </row>
    <row r="92" spans="2:8" ht="12.75">
      <c r="B92" s="14" t="s">
        <v>167</v>
      </c>
      <c r="C92" s="14" t="s">
        <v>168</v>
      </c>
      <c r="D92" s="14" t="s">
        <v>169</v>
      </c>
      <c r="E92" s="14" t="s">
        <v>170</v>
      </c>
      <c r="F92" s="14" t="s">
        <v>171</v>
      </c>
      <c r="G92" s="14" t="s">
        <v>172</v>
      </c>
      <c r="H92" s="14" t="s">
        <v>173</v>
      </c>
    </row>
    <row r="93" spans="1:9" ht="13.5" thickBot="1">
      <c r="A93" t="s">
        <v>174</v>
      </c>
      <c r="B93" s="75">
        <v>1</v>
      </c>
      <c r="C93" s="104" t="s">
        <v>60</v>
      </c>
      <c r="D93" s="8">
        <v>1</v>
      </c>
      <c r="E93" s="8"/>
      <c r="F93" s="8"/>
      <c r="G93" s="8">
        <v>1</v>
      </c>
      <c r="H93" s="8">
        <v>2</v>
      </c>
      <c r="I93" t="s">
        <v>283</v>
      </c>
    </row>
    <row r="94" spans="1:9" ht="12.75">
      <c r="A94" s="254" t="s">
        <v>130</v>
      </c>
      <c r="B94" s="75">
        <v>3</v>
      </c>
      <c r="C94" s="104" t="s">
        <v>56</v>
      </c>
      <c r="D94" s="8"/>
      <c r="E94" s="8">
        <v>1</v>
      </c>
      <c r="F94" s="8">
        <v>2</v>
      </c>
      <c r="G94" s="8"/>
      <c r="H94" s="8"/>
      <c r="I94" t="s">
        <v>284</v>
      </c>
    </row>
    <row r="95" spans="1:9" ht="13.5" thickBot="1">
      <c r="A95" s="261">
        <f>SUM(D93:D96)+SUM(E93:E96)+SUM(F93:F96)+SUM(G93:G96)+SUM(H93:H96)</f>
        <v>15</v>
      </c>
      <c r="B95" s="75">
        <v>4</v>
      </c>
      <c r="C95" s="104" t="s">
        <v>57</v>
      </c>
      <c r="D95" s="8"/>
      <c r="E95" s="8">
        <v>2</v>
      </c>
      <c r="F95" s="8">
        <v>1</v>
      </c>
      <c r="G95" s="8"/>
      <c r="H95" s="8">
        <v>1</v>
      </c>
      <c r="I95" t="s">
        <v>285</v>
      </c>
    </row>
    <row r="96" spans="2:9" ht="12.75">
      <c r="B96" s="75">
        <v>7</v>
      </c>
      <c r="C96" s="104" t="s">
        <v>61</v>
      </c>
      <c r="D96" s="8">
        <v>2</v>
      </c>
      <c r="E96" s="8"/>
      <c r="F96" s="8"/>
      <c r="G96" s="8">
        <v>2</v>
      </c>
      <c r="H96" s="8"/>
      <c r="I96" t="s">
        <v>286</v>
      </c>
    </row>
    <row r="98" spans="1:9" ht="13.5" thickBot="1">
      <c r="A98" t="s">
        <v>176</v>
      </c>
      <c r="B98" s="75" t="s">
        <v>192</v>
      </c>
      <c r="C98" s="287" t="s">
        <v>193</v>
      </c>
      <c r="D98" s="8">
        <v>1</v>
      </c>
      <c r="E98" s="8"/>
      <c r="F98" s="8"/>
      <c r="G98" s="8"/>
      <c r="H98" s="8"/>
      <c r="I98" t="s">
        <v>287</v>
      </c>
    </row>
    <row r="99" spans="1:9" ht="12.75">
      <c r="A99" s="254" t="s">
        <v>130</v>
      </c>
      <c r="B99" s="75" t="s">
        <v>194</v>
      </c>
      <c r="C99" s="287" t="s">
        <v>195</v>
      </c>
      <c r="D99" s="8">
        <v>1</v>
      </c>
      <c r="E99" s="8"/>
      <c r="F99" s="8"/>
      <c r="G99" s="8">
        <v>2</v>
      </c>
      <c r="H99" s="8"/>
      <c r="I99" t="s">
        <v>196</v>
      </c>
    </row>
    <row r="100" spans="1:9" ht="13.5" thickBot="1">
      <c r="A100" s="261">
        <f>SUM(D98:D105)+SUM(E98:E105)+SUM(F98:F105)+SUM(G98:G105)+SUM(H98:H105)</f>
        <v>15</v>
      </c>
      <c r="B100" s="75">
        <v>6</v>
      </c>
      <c r="C100" s="288" t="s">
        <v>197</v>
      </c>
      <c r="D100" s="8">
        <v>1</v>
      </c>
      <c r="E100" s="8"/>
      <c r="F100" s="8"/>
      <c r="G100" s="8">
        <v>1</v>
      </c>
      <c r="H100" s="8"/>
      <c r="I100" t="s">
        <v>288</v>
      </c>
    </row>
    <row r="101" spans="4:9" ht="12.75">
      <c r="D101" s="54"/>
      <c r="E101" s="54"/>
      <c r="F101" s="54"/>
      <c r="G101" s="54"/>
      <c r="H101" s="54"/>
      <c r="I101" t="s">
        <v>198</v>
      </c>
    </row>
    <row r="103" spans="2:9" ht="12.75">
      <c r="B103" s="75">
        <v>2</v>
      </c>
      <c r="C103" s="99" t="s">
        <v>55</v>
      </c>
      <c r="D103" s="8"/>
      <c r="E103" s="8"/>
      <c r="F103" s="8">
        <v>2</v>
      </c>
      <c r="G103" s="8"/>
      <c r="H103" s="8">
        <v>1</v>
      </c>
      <c r="I103" t="s">
        <v>289</v>
      </c>
    </row>
    <row r="104" spans="2:9" ht="12.75">
      <c r="B104" s="75">
        <v>5</v>
      </c>
      <c r="C104" s="289" t="s">
        <v>58</v>
      </c>
      <c r="D104" s="8"/>
      <c r="E104" s="8">
        <v>3</v>
      </c>
      <c r="F104" s="8"/>
      <c r="G104" s="8"/>
      <c r="H104" s="8"/>
      <c r="I104" t="s">
        <v>290</v>
      </c>
    </row>
    <row r="105" spans="2:9" ht="12.75">
      <c r="B105" s="75">
        <v>8</v>
      </c>
      <c r="C105" s="112" t="s">
        <v>62</v>
      </c>
      <c r="D105" s="8"/>
      <c r="E105" s="8"/>
      <c r="F105" s="8">
        <v>1</v>
      </c>
      <c r="G105" s="8"/>
      <c r="H105" s="8">
        <v>2</v>
      </c>
      <c r="I105" t="s">
        <v>291</v>
      </c>
    </row>
  </sheetData>
  <mergeCells count="13">
    <mergeCell ref="D52:D53"/>
    <mergeCell ref="G52:G53"/>
    <mergeCell ref="D64:D65"/>
    <mergeCell ref="H64:H65"/>
    <mergeCell ref="A78:H78"/>
    <mergeCell ref="A91:H91"/>
    <mergeCell ref="E54:E55"/>
    <mergeCell ref="F54:F55"/>
    <mergeCell ref="H54:H55"/>
    <mergeCell ref="A1:H1"/>
    <mergeCell ref="A18:H18"/>
    <mergeCell ref="A31:H31"/>
    <mergeCell ref="A50:H50"/>
  </mergeCells>
  <printOptions/>
  <pageMargins left="0.8661417322834646" right="0.984251968503937" top="0.97" bottom="0.8267716535433072" header="0.3937007874015748" footer="0"/>
  <pageSetup horizontalDpi="600" verticalDpi="600" orientation="landscape" paperSize="9" scale="75" r:id="rId2"/>
  <rowBreaks count="2" manualBreakCount="2">
    <brk id="48" max="255" man="1"/>
    <brk id="8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O21" sqref="O21"/>
    </sheetView>
  </sheetViews>
  <sheetFormatPr defaultColWidth="9.140625" defaultRowHeight="12.75"/>
  <cols>
    <col min="1" max="1" width="13.140625" style="0" bestFit="1" customWidth="1"/>
    <col min="2" max="2" width="12.8515625" style="0" bestFit="1" customWidth="1"/>
    <col min="4" max="4" width="10.00390625" style="0" bestFit="1" customWidth="1"/>
    <col min="5" max="5" width="1.28515625" style="0" customWidth="1"/>
    <col min="6" max="6" width="13.140625" style="0" bestFit="1" customWidth="1"/>
    <col min="7" max="7" width="12.8515625" style="0" bestFit="1" customWidth="1"/>
    <col min="9" max="9" width="10.00390625" style="0" bestFit="1" customWidth="1"/>
  </cols>
  <sheetData>
    <row r="1" spans="1:7" ht="12.75">
      <c r="A1" s="290" t="s">
        <v>199</v>
      </c>
      <c r="B1" s="290"/>
      <c r="F1" s="290" t="s">
        <v>199</v>
      </c>
      <c r="G1" s="290"/>
    </row>
    <row r="3" spans="1:9" ht="12.75">
      <c r="A3" s="291" t="s">
        <v>200</v>
      </c>
      <c r="B3" s="292"/>
      <c r="C3" s="292"/>
      <c r="D3" s="293"/>
      <c r="F3" s="291" t="s">
        <v>201</v>
      </c>
      <c r="G3" s="292"/>
      <c r="H3" s="292"/>
      <c r="I3" s="293"/>
    </row>
    <row r="4" spans="1:9" ht="12.75">
      <c r="A4" s="294" t="s">
        <v>0</v>
      </c>
      <c r="B4" s="294" t="s">
        <v>202</v>
      </c>
      <c r="C4" s="294" t="s">
        <v>203</v>
      </c>
      <c r="D4" s="295" t="s">
        <v>204</v>
      </c>
      <c r="F4" s="294" t="s">
        <v>0</v>
      </c>
      <c r="G4" s="294" t="s">
        <v>202</v>
      </c>
      <c r="H4" s="294" t="s">
        <v>203</v>
      </c>
      <c r="I4" s="295" t="s">
        <v>204</v>
      </c>
    </row>
    <row r="5" spans="1:9" ht="12.75">
      <c r="A5" s="296" t="s">
        <v>2</v>
      </c>
      <c r="B5" s="5" t="s">
        <v>174</v>
      </c>
      <c r="C5" s="146">
        <f>34*5</f>
        <v>170</v>
      </c>
      <c r="D5" s="13">
        <f>SUM(C5:C7)</f>
        <v>422</v>
      </c>
      <c r="F5" s="296" t="s">
        <v>2</v>
      </c>
      <c r="G5" s="5" t="s">
        <v>174</v>
      </c>
      <c r="H5" s="8">
        <f>31*2+33+38</f>
        <v>133</v>
      </c>
      <c r="I5" s="8">
        <f>SUM(H5:H6)</f>
        <v>307</v>
      </c>
    </row>
    <row r="6" spans="1:9" ht="12.75">
      <c r="A6" s="296"/>
      <c r="B6" s="5" t="s">
        <v>176</v>
      </c>
      <c r="C6" s="146">
        <f>31*4</f>
        <v>124</v>
      </c>
      <c r="D6" s="13"/>
      <c r="F6" s="296"/>
      <c r="G6" s="5" t="s">
        <v>176</v>
      </c>
      <c r="H6" s="8">
        <f>40+36+38+60</f>
        <v>174</v>
      </c>
      <c r="I6" s="8"/>
    </row>
    <row r="7" spans="1:9" ht="12.75">
      <c r="A7" s="296"/>
      <c r="B7" s="5" t="s">
        <v>180</v>
      </c>
      <c r="C7" s="146">
        <f>27*2+36+16+22</f>
        <v>128</v>
      </c>
      <c r="D7" s="13"/>
      <c r="F7" s="296" t="s">
        <v>5</v>
      </c>
      <c r="G7" s="5" t="s">
        <v>174</v>
      </c>
      <c r="H7" s="8">
        <f>44+29</f>
        <v>73</v>
      </c>
      <c r="I7" s="8">
        <f>SUM(H7:H8)</f>
        <v>148</v>
      </c>
    </row>
    <row r="8" spans="1:9" ht="12.75">
      <c r="A8" s="296" t="s">
        <v>5</v>
      </c>
      <c r="B8" s="5" t="s">
        <v>174</v>
      </c>
      <c r="C8" s="146">
        <f>36*2</f>
        <v>72</v>
      </c>
      <c r="D8" s="13">
        <f>SUM(C8:C9)</f>
        <v>220</v>
      </c>
      <c r="F8" s="296"/>
      <c r="G8" s="5" t="s">
        <v>176</v>
      </c>
      <c r="H8" s="8">
        <f>45+30</f>
        <v>75</v>
      </c>
      <c r="I8" s="8"/>
    </row>
    <row r="9" spans="1:9" ht="12.75">
      <c r="A9" s="296"/>
      <c r="B9" s="5" t="s">
        <v>176</v>
      </c>
      <c r="C9" s="146">
        <f>30*3+29*2</f>
        <v>148</v>
      </c>
      <c r="D9" s="13"/>
      <c r="F9" s="296" t="s">
        <v>7</v>
      </c>
      <c r="G9" s="5" t="s">
        <v>174</v>
      </c>
      <c r="H9" s="5"/>
      <c r="I9" s="8">
        <f>SUM(H9:H11)</f>
        <v>330</v>
      </c>
    </row>
    <row r="10" spans="1:9" ht="12.75">
      <c r="A10" s="296" t="s">
        <v>7</v>
      </c>
      <c r="B10" s="5" t="s">
        <v>174</v>
      </c>
      <c r="C10" s="146">
        <f>54*2</f>
        <v>108</v>
      </c>
      <c r="D10" s="13">
        <f>SUM(C10:C13)</f>
        <v>584</v>
      </c>
      <c r="F10" s="296"/>
      <c r="G10" s="5" t="s">
        <v>176</v>
      </c>
      <c r="H10" s="8">
        <f>45*2+34*2</f>
        <v>158</v>
      </c>
      <c r="I10" s="8"/>
    </row>
    <row r="11" spans="1:9" ht="12.75">
      <c r="A11" s="296"/>
      <c r="B11" s="5" t="s">
        <v>176</v>
      </c>
      <c r="C11" s="146">
        <f>46*2+37*3</f>
        <v>203</v>
      </c>
      <c r="D11" s="13"/>
      <c r="F11" s="296"/>
      <c r="G11" s="5" t="s">
        <v>180</v>
      </c>
      <c r="H11" s="8">
        <f>37*3+61</f>
        <v>172</v>
      </c>
      <c r="I11" s="8"/>
    </row>
    <row r="12" spans="1:9" ht="12.75">
      <c r="A12" s="296"/>
      <c r="B12" s="5" t="s">
        <v>180</v>
      </c>
      <c r="C12" s="146">
        <f>45*3+34</f>
        <v>169</v>
      </c>
      <c r="D12" s="13"/>
      <c r="F12" s="296" t="s">
        <v>9</v>
      </c>
      <c r="G12" s="5" t="s">
        <v>174</v>
      </c>
      <c r="H12" s="8">
        <f>16*2+36+51+46</f>
        <v>165</v>
      </c>
      <c r="I12" s="8">
        <f>SUM(H12:H13)</f>
        <v>383</v>
      </c>
    </row>
    <row r="13" spans="1:9" ht="12.75">
      <c r="A13" s="296"/>
      <c r="B13" s="5" t="s">
        <v>205</v>
      </c>
      <c r="C13" s="146">
        <f>52*2</f>
        <v>104</v>
      </c>
      <c r="D13" s="13"/>
      <c r="F13" s="296"/>
      <c r="G13" s="5" t="s">
        <v>176</v>
      </c>
      <c r="H13" s="8">
        <f>44+63+52+59</f>
        <v>218</v>
      </c>
      <c r="I13" s="8"/>
    </row>
    <row r="14" spans="1:9" ht="12.75">
      <c r="A14" s="296" t="s">
        <v>9</v>
      </c>
      <c r="B14" s="5" t="s">
        <v>174</v>
      </c>
      <c r="C14" s="146">
        <f>37*2+36*2+41</f>
        <v>187</v>
      </c>
      <c r="D14" s="13">
        <f>SUM(C14:C16)</f>
        <v>547</v>
      </c>
      <c r="F14" s="296" t="s">
        <v>11</v>
      </c>
      <c r="G14" s="5" t="s">
        <v>174</v>
      </c>
      <c r="H14" s="8">
        <f>58*2+38+20*2</f>
        <v>194</v>
      </c>
      <c r="I14" s="8">
        <f>SUM(H14)</f>
        <v>194</v>
      </c>
    </row>
    <row r="15" spans="1:9" ht="12.75">
      <c r="A15" s="296"/>
      <c r="B15" s="5" t="s">
        <v>176</v>
      </c>
      <c r="C15" s="146">
        <f>31*2+10*2+22</f>
        <v>104</v>
      </c>
      <c r="D15" s="13"/>
      <c r="F15" s="296" t="s">
        <v>13</v>
      </c>
      <c r="G15" s="5" t="s">
        <v>174</v>
      </c>
      <c r="H15" s="8">
        <f>50*2+37*2+27</f>
        <v>201</v>
      </c>
      <c r="I15" s="8">
        <f>SUM(H15)</f>
        <v>201</v>
      </c>
    </row>
    <row r="16" spans="1:9" ht="12.75">
      <c r="A16" s="296"/>
      <c r="B16" s="5" t="s">
        <v>180</v>
      </c>
      <c r="C16" s="146">
        <f>42*2+56+67+49</f>
        <v>256</v>
      </c>
      <c r="D16" s="13"/>
      <c r="I16">
        <f>SUM(I5:I15)</f>
        <v>1563</v>
      </c>
    </row>
    <row r="17" spans="1:4" ht="12.75">
      <c r="A17" s="296" t="s">
        <v>11</v>
      </c>
      <c r="B17" s="5" t="s">
        <v>174</v>
      </c>
      <c r="C17" s="146">
        <f>20+36+64</f>
        <v>120</v>
      </c>
      <c r="D17" s="13">
        <f>SUM(C17:C18)</f>
        <v>281</v>
      </c>
    </row>
    <row r="18" spans="1:4" ht="12.75">
      <c r="A18" s="296"/>
      <c r="B18" s="5" t="s">
        <v>176</v>
      </c>
      <c r="C18" s="146">
        <f>20+50+47+44</f>
        <v>161</v>
      </c>
      <c r="D18" s="13"/>
    </row>
    <row r="19" spans="1:4" ht="12.75">
      <c r="A19" s="296" t="s">
        <v>13</v>
      </c>
      <c r="B19" s="5" t="s">
        <v>174</v>
      </c>
      <c r="C19" s="146">
        <f>31*2+2*2+26</f>
        <v>92</v>
      </c>
      <c r="D19" s="13">
        <f>SUM(C19:C20)</f>
        <v>235</v>
      </c>
    </row>
    <row r="20" spans="1:4" ht="12.75">
      <c r="A20" s="296"/>
      <c r="B20" s="5" t="s">
        <v>176</v>
      </c>
      <c r="C20" s="146">
        <f>38+31+22*2+30</f>
        <v>143</v>
      </c>
      <c r="D20" s="13"/>
    </row>
    <row r="21" ht="12.75">
      <c r="D21">
        <f>SUM(D5:D20)</f>
        <v>2289</v>
      </c>
    </row>
    <row r="23" spans="1:7" ht="12.75">
      <c r="A23" s="297" t="s">
        <v>206</v>
      </c>
      <c r="B23" s="297"/>
      <c r="F23" s="297" t="s">
        <v>206</v>
      </c>
      <c r="G23" s="297"/>
    </row>
    <row r="25" spans="1:9" ht="12.75">
      <c r="A25" s="291" t="s">
        <v>200</v>
      </c>
      <c r="B25" s="292"/>
      <c r="C25" s="292"/>
      <c r="D25" s="293"/>
      <c r="F25" s="291" t="s">
        <v>201</v>
      </c>
      <c r="G25" s="292"/>
      <c r="H25" s="292"/>
      <c r="I25" s="293"/>
    </row>
    <row r="26" spans="1:9" ht="12.75">
      <c r="A26" s="294" t="s">
        <v>0</v>
      </c>
      <c r="B26" s="294" t="s">
        <v>202</v>
      </c>
      <c r="C26" s="294" t="s">
        <v>203</v>
      </c>
      <c r="D26" s="295" t="s">
        <v>204</v>
      </c>
      <c r="F26" s="294" t="s">
        <v>0</v>
      </c>
      <c r="G26" s="294" t="s">
        <v>202</v>
      </c>
      <c r="H26" s="294" t="s">
        <v>203</v>
      </c>
      <c r="I26" s="295" t="s">
        <v>204</v>
      </c>
    </row>
    <row r="27" spans="1:9" ht="12.75">
      <c r="A27" s="296" t="s">
        <v>2</v>
      </c>
      <c r="B27" s="5" t="s">
        <v>174</v>
      </c>
      <c r="C27" s="146">
        <f>34*5*22</f>
        <v>3740</v>
      </c>
      <c r="D27" s="13">
        <f>SUM(C27:C29)</f>
        <v>9284</v>
      </c>
      <c r="F27" s="296" t="s">
        <v>2</v>
      </c>
      <c r="G27" s="5" t="s">
        <v>174</v>
      </c>
      <c r="H27" s="8">
        <f>(31*2+33+38)*22</f>
        <v>2926</v>
      </c>
      <c r="I27" s="8">
        <f>SUM(H27:H28)</f>
        <v>6754</v>
      </c>
    </row>
    <row r="28" spans="1:9" ht="12.75">
      <c r="A28" s="296"/>
      <c r="B28" s="5" t="s">
        <v>176</v>
      </c>
      <c r="C28" s="146">
        <f>31*4*22</f>
        <v>2728</v>
      </c>
      <c r="D28" s="13"/>
      <c r="F28" s="296"/>
      <c r="G28" s="5" t="s">
        <v>176</v>
      </c>
      <c r="H28" s="8">
        <f>(40+36+38+60)*22</f>
        <v>3828</v>
      </c>
      <c r="I28" s="8"/>
    </row>
    <row r="29" spans="1:9" ht="12.75">
      <c r="A29" s="296"/>
      <c r="B29" s="5" t="s">
        <v>180</v>
      </c>
      <c r="C29" s="146">
        <f>(27*2+36+16+22)*22</f>
        <v>2816</v>
      </c>
      <c r="D29" s="13"/>
      <c r="F29" s="296" t="s">
        <v>5</v>
      </c>
      <c r="G29" s="5" t="s">
        <v>174</v>
      </c>
      <c r="H29" s="8">
        <f>(44+29)*22</f>
        <v>1606</v>
      </c>
      <c r="I29" s="8">
        <f>SUM(H29:H30)</f>
        <v>3256</v>
      </c>
    </row>
    <row r="30" spans="1:9" ht="12.75">
      <c r="A30" s="296" t="s">
        <v>5</v>
      </c>
      <c r="B30" s="5" t="s">
        <v>174</v>
      </c>
      <c r="C30" s="146">
        <f>36*2*22</f>
        <v>1584</v>
      </c>
      <c r="D30" s="13">
        <f>SUM(C30:C31)</f>
        <v>4840</v>
      </c>
      <c r="F30" s="296"/>
      <c r="G30" s="5" t="s">
        <v>176</v>
      </c>
      <c r="H30" s="8">
        <f>(45+30)*22</f>
        <v>1650</v>
      </c>
      <c r="I30" s="8"/>
    </row>
    <row r="31" spans="1:9" ht="12.75">
      <c r="A31" s="296"/>
      <c r="B31" s="5" t="s">
        <v>176</v>
      </c>
      <c r="C31" s="146">
        <f>(30*3+29*2)*22</f>
        <v>3256</v>
      </c>
      <c r="D31" s="13"/>
      <c r="F31" s="296" t="s">
        <v>7</v>
      </c>
      <c r="G31" s="5" t="s">
        <v>174</v>
      </c>
      <c r="H31" s="5"/>
      <c r="I31" s="8">
        <f>SUM(H31:H33)</f>
        <v>7260</v>
      </c>
    </row>
    <row r="32" spans="1:9" ht="12.75">
      <c r="A32" s="296" t="s">
        <v>7</v>
      </c>
      <c r="B32" s="5" t="s">
        <v>174</v>
      </c>
      <c r="C32" s="146">
        <f>54*2*22</f>
        <v>2376</v>
      </c>
      <c r="D32" s="13">
        <f>SUM(C32:C35)</f>
        <v>12848</v>
      </c>
      <c r="F32" s="296"/>
      <c r="G32" s="5" t="s">
        <v>176</v>
      </c>
      <c r="H32" s="8">
        <f>(45*2+34*2)*22</f>
        <v>3476</v>
      </c>
      <c r="I32" s="8"/>
    </row>
    <row r="33" spans="1:9" ht="12.75">
      <c r="A33" s="296"/>
      <c r="B33" s="5" t="s">
        <v>176</v>
      </c>
      <c r="C33" s="146">
        <f>(46*2+37*3)*22</f>
        <v>4466</v>
      </c>
      <c r="D33" s="13"/>
      <c r="F33" s="296"/>
      <c r="G33" s="5" t="s">
        <v>180</v>
      </c>
      <c r="H33" s="8">
        <f>(37*3+61)*22</f>
        <v>3784</v>
      </c>
      <c r="I33" s="8"/>
    </row>
    <row r="34" spans="1:9" ht="12.75">
      <c r="A34" s="296"/>
      <c r="B34" s="5" t="s">
        <v>180</v>
      </c>
      <c r="C34" s="146">
        <f>(45*3+34)*22</f>
        <v>3718</v>
      </c>
      <c r="D34" s="13"/>
      <c r="F34" s="296" t="s">
        <v>9</v>
      </c>
      <c r="G34" s="5" t="s">
        <v>174</v>
      </c>
      <c r="H34" s="8">
        <f>(16*2+36+51+46)*22</f>
        <v>3630</v>
      </c>
      <c r="I34" s="8">
        <f>SUM(H34:H35)</f>
        <v>8426</v>
      </c>
    </row>
    <row r="35" spans="1:9" ht="12.75">
      <c r="A35" s="296"/>
      <c r="B35" s="5" t="s">
        <v>205</v>
      </c>
      <c r="C35" s="146">
        <f>52*2*22</f>
        <v>2288</v>
      </c>
      <c r="D35" s="13"/>
      <c r="F35" s="296"/>
      <c r="G35" s="5" t="s">
        <v>176</v>
      </c>
      <c r="H35" s="8">
        <f>(44+63+52+59)*22</f>
        <v>4796</v>
      </c>
      <c r="I35" s="8"/>
    </row>
    <row r="36" spans="1:9" ht="12.75">
      <c r="A36" s="296" t="s">
        <v>9</v>
      </c>
      <c r="B36" s="5" t="s">
        <v>174</v>
      </c>
      <c r="C36" s="146">
        <f>(37*2+36*2+41)*22</f>
        <v>4114</v>
      </c>
      <c r="D36" s="13">
        <f>SUM(C36:C38)</f>
        <v>12034</v>
      </c>
      <c r="F36" s="296" t="s">
        <v>11</v>
      </c>
      <c r="G36" s="5" t="s">
        <v>174</v>
      </c>
      <c r="H36" s="8">
        <f>(58*2+38+20*2)*22</f>
        <v>4268</v>
      </c>
      <c r="I36" s="8">
        <f>SUM(H36)</f>
        <v>4268</v>
      </c>
    </row>
    <row r="37" spans="1:9" ht="12.75">
      <c r="A37" s="296"/>
      <c r="B37" s="5" t="s">
        <v>176</v>
      </c>
      <c r="C37" s="146">
        <f>(31*2+10*2+22)*22</f>
        <v>2288</v>
      </c>
      <c r="D37" s="13"/>
      <c r="F37" s="296" t="s">
        <v>13</v>
      </c>
      <c r="G37" s="5" t="s">
        <v>174</v>
      </c>
      <c r="H37" s="8">
        <f>(50*2+37*2+27)*22</f>
        <v>4422</v>
      </c>
      <c r="I37" s="8">
        <f>SUM(H37)</f>
        <v>4422</v>
      </c>
    </row>
    <row r="38" spans="1:9" ht="12.75">
      <c r="A38" s="296"/>
      <c r="B38" s="5" t="s">
        <v>180</v>
      </c>
      <c r="C38" s="146">
        <f>(42*2+56+67+49)*22</f>
        <v>5632</v>
      </c>
      <c r="D38" s="13"/>
      <c r="I38">
        <f>SUM(I27:I37)</f>
        <v>34386</v>
      </c>
    </row>
    <row r="39" spans="1:4" ht="12.75">
      <c r="A39" s="296" t="s">
        <v>11</v>
      </c>
      <c r="B39" s="5" t="s">
        <v>174</v>
      </c>
      <c r="C39" s="146">
        <f>(20+36+64)*22</f>
        <v>2640</v>
      </c>
      <c r="D39" s="13">
        <f>SUM(C39:C40)</f>
        <v>6182</v>
      </c>
    </row>
    <row r="40" spans="1:4" ht="12.75">
      <c r="A40" s="296"/>
      <c r="B40" s="5" t="s">
        <v>176</v>
      </c>
      <c r="C40" s="146">
        <f>(20+50+47+44)*22</f>
        <v>3542</v>
      </c>
      <c r="D40" s="13"/>
    </row>
    <row r="41" spans="1:4" ht="12.75">
      <c r="A41" s="296" t="s">
        <v>13</v>
      </c>
      <c r="B41" s="5" t="s">
        <v>174</v>
      </c>
      <c r="C41" s="146">
        <f>(31*2+2*2+26)*22</f>
        <v>2024</v>
      </c>
      <c r="D41" s="13">
        <f>SUM(C41:C42)</f>
        <v>5170</v>
      </c>
    </row>
    <row r="42" spans="1:4" ht="12.75">
      <c r="A42" s="296"/>
      <c r="B42" s="5" t="s">
        <v>176</v>
      </c>
      <c r="C42" s="146">
        <f>(38+31+22*2+30)*22</f>
        <v>3146</v>
      </c>
      <c r="D42" s="13"/>
    </row>
    <row r="43" ht="12.75">
      <c r="D43">
        <f>SUM(D27:D42)</f>
        <v>50358</v>
      </c>
    </row>
  </sheetData>
  <mergeCells count="6">
    <mergeCell ref="A25:D25"/>
    <mergeCell ref="F25:I25"/>
    <mergeCell ref="A1:B1"/>
    <mergeCell ref="F1:G1"/>
    <mergeCell ref="F3:I3"/>
    <mergeCell ref="A3:D3"/>
  </mergeCells>
  <printOptions/>
  <pageMargins left="1.1811023622047245" right="0.984251968503937" top="0.984251968503937" bottom="0.984251968503937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90" zoomScaleNormal="9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3" sqref="G73"/>
    </sheetView>
  </sheetViews>
  <sheetFormatPr defaultColWidth="9.140625" defaultRowHeight="12.75"/>
  <cols>
    <col min="1" max="1" width="13.7109375" style="308" customWidth="1"/>
    <col min="2" max="2" width="53.00390625" style="0" bestFit="1" customWidth="1"/>
    <col min="3" max="11" width="6.28125" style="0" bestFit="1" customWidth="1"/>
  </cols>
  <sheetData>
    <row r="1" spans="1:11" ht="12.75">
      <c r="A1" s="298" t="s">
        <v>292</v>
      </c>
      <c r="B1" s="299" t="s">
        <v>293</v>
      </c>
      <c r="C1" s="300" t="s">
        <v>294</v>
      </c>
      <c r="D1" s="301" t="s">
        <v>295</v>
      </c>
      <c r="E1" s="301" t="s">
        <v>296</v>
      </c>
      <c r="F1" s="301" t="s">
        <v>297</v>
      </c>
      <c r="G1" s="301" t="s">
        <v>298</v>
      </c>
      <c r="H1" s="301" t="s">
        <v>299</v>
      </c>
      <c r="I1" s="301" t="s">
        <v>300</v>
      </c>
      <c r="J1" s="301" t="s">
        <v>301</v>
      </c>
      <c r="K1" s="301" t="s">
        <v>302</v>
      </c>
    </row>
    <row r="2" spans="1:11" ht="12.75">
      <c r="A2" s="298"/>
      <c r="B2" s="302" t="s">
        <v>303</v>
      </c>
      <c r="C2" s="300"/>
      <c r="D2" s="301"/>
      <c r="E2" s="301"/>
      <c r="F2" s="301"/>
      <c r="G2" s="301"/>
      <c r="H2" s="301"/>
      <c r="I2" s="301"/>
      <c r="J2" s="301"/>
      <c r="K2" s="301"/>
    </row>
    <row r="3" spans="1:11" ht="12.75">
      <c r="A3" s="303" t="s">
        <v>304</v>
      </c>
      <c r="B3" s="304" t="s">
        <v>305</v>
      </c>
      <c r="C3" s="305"/>
      <c r="D3" s="305"/>
      <c r="E3" s="305" t="s">
        <v>306</v>
      </c>
      <c r="F3" s="305"/>
      <c r="G3" s="305" t="s">
        <v>306</v>
      </c>
      <c r="H3" s="305"/>
      <c r="I3" s="305" t="s">
        <v>306</v>
      </c>
      <c r="J3" s="305" t="s">
        <v>306</v>
      </c>
      <c r="K3" s="305"/>
    </row>
    <row r="4" spans="1:11" ht="12.75">
      <c r="A4" s="303"/>
      <c r="B4" s="306" t="s">
        <v>307</v>
      </c>
      <c r="C4" s="305"/>
      <c r="D4" s="305"/>
      <c r="E4" s="305" t="s">
        <v>306</v>
      </c>
      <c r="F4" s="305"/>
      <c r="G4" s="305" t="s">
        <v>306</v>
      </c>
      <c r="H4" s="305"/>
      <c r="I4" s="305" t="s">
        <v>306</v>
      </c>
      <c r="J4" s="305" t="s">
        <v>306</v>
      </c>
      <c r="K4" s="305"/>
    </row>
    <row r="5" spans="1:11" ht="12.75">
      <c r="A5" s="303"/>
      <c r="B5" s="306" t="s">
        <v>308</v>
      </c>
      <c r="C5" s="305"/>
      <c r="D5" s="305"/>
      <c r="E5" s="305" t="s">
        <v>306</v>
      </c>
      <c r="F5" s="305"/>
      <c r="G5" s="305" t="s">
        <v>306</v>
      </c>
      <c r="H5" s="305"/>
      <c r="I5" s="305" t="s">
        <v>306</v>
      </c>
      <c r="J5" s="305" t="s">
        <v>306</v>
      </c>
      <c r="K5" s="305"/>
    </row>
    <row r="6" spans="1:11" ht="12.75">
      <c r="A6" s="303"/>
      <c r="B6" s="306" t="s">
        <v>309</v>
      </c>
      <c r="C6" s="305"/>
      <c r="D6" s="305"/>
      <c r="E6" s="305" t="s">
        <v>306</v>
      </c>
      <c r="F6" s="305"/>
      <c r="G6" s="305" t="s">
        <v>306</v>
      </c>
      <c r="H6" s="305"/>
      <c r="I6" s="305" t="s">
        <v>306</v>
      </c>
      <c r="J6" s="305" t="s">
        <v>306</v>
      </c>
      <c r="K6" s="305"/>
    </row>
    <row r="7" spans="1:11" ht="12.75">
      <c r="A7" s="303"/>
      <c r="B7" s="306" t="s">
        <v>310</v>
      </c>
      <c r="C7" s="305"/>
      <c r="D7" s="305"/>
      <c r="E7" s="305" t="s">
        <v>306</v>
      </c>
      <c r="F7" s="305"/>
      <c r="G7" s="305" t="s">
        <v>306</v>
      </c>
      <c r="H7" s="305"/>
      <c r="I7" s="305" t="s">
        <v>306</v>
      </c>
      <c r="J7" s="305" t="s">
        <v>306</v>
      </c>
      <c r="K7" s="305"/>
    </row>
    <row r="8" spans="1:11" ht="12.75">
      <c r="A8" s="303"/>
      <c r="B8" s="306" t="s">
        <v>311</v>
      </c>
      <c r="C8" s="305"/>
      <c r="D8" s="305"/>
      <c r="E8" s="305" t="s">
        <v>306</v>
      </c>
      <c r="F8" s="305"/>
      <c r="G8" s="305" t="s">
        <v>306</v>
      </c>
      <c r="H8" s="305"/>
      <c r="I8" s="305" t="s">
        <v>306</v>
      </c>
      <c r="J8" s="305" t="s">
        <v>306</v>
      </c>
      <c r="K8" s="305"/>
    </row>
    <row r="9" spans="1:11" ht="12.75">
      <c r="A9" s="303" t="s">
        <v>312</v>
      </c>
      <c r="B9" s="306" t="s">
        <v>313</v>
      </c>
      <c r="C9" s="305" t="s">
        <v>306</v>
      </c>
      <c r="D9" s="305"/>
      <c r="E9" s="305" t="s">
        <v>306</v>
      </c>
      <c r="F9" s="305" t="s">
        <v>306</v>
      </c>
      <c r="G9" s="305"/>
      <c r="H9" s="305"/>
      <c r="I9" s="305" t="s">
        <v>306</v>
      </c>
      <c r="J9" s="305" t="s">
        <v>306</v>
      </c>
      <c r="K9" s="305" t="s">
        <v>306</v>
      </c>
    </row>
    <row r="10" spans="1:11" ht="12.75">
      <c r="A10" s="303"/>
      <c r="B10" s="306" t="s">
        <v>314</v>
      </c>
      <c r="C10" s="305" t="s">
        <v>306</v>
      </c>
      <c r="D10" s="305"/>
      <c r="E10" s="305" t="s">
        <v>306</v>
      </c>
      <c r="F10" s="305" t="s">
        <v>306</v>
      </c>
      <c r="G10" s="305"/>
      <c r="H10" s="305"/>
      <c r="I10" s="305" t="s">
        <v>306</v>
      </c>
      <c r="J10" s="305" t="s">
        <v>306</v>
      </c>
      <c r="K10" s="305" t="s">
        <v>306</v>
      </c>
    </row>
    <row r="11" spans="1:11" ht="12.75">
      <c r="A11" s="303"/>
      <c r="B11" s="306" t="s">
        <v>315</v>
      </c>
      <c r="C11" s="305" t="s">
        <v>306</v>
      </c>
      <c r="D11" s="305"/>
      <c r="E11" s="305" t="s">
        <v>306</v>
      </c>
      <c r="F11" s="305" t="s">
        <v>306</v>
      </c>
      <c r="G11" s="305"/>
      <c r="H11" s="305"/>
      <c r="I11" s="305" t="s">
        <v>306</v>
      </c>
      <c r="J11" s="305" t="s">
        <v>306</v>
      </c>
      <c r="K11" s="305" t="s">
        <v>306</v>
      </c>
    </row>
    <row r="12" spans="1:11" ht="12.75">
      <c r="A12" s="303"/>
      <c r="B12" s="306" t="s">
        <v>316</v>
      </c>
      <c r="C12" s="305" t="s">
        <v>306</v>
      </c>
      <c r="D12" s="305"/>
      <c r="E12" s="305" t="s">
        <v>306</v>
      </c>
      <c r="F12" s="305" t="s">
        <v>306</v>
      </c>
      <c r="G12" s="305"/>
      <c r="H12" s="305"/>
      <c r="I12" s="305" t="s">
        <v>306</v>
      </c>
      <c r="J12" s="305" t="s">
        <v>306</v>
      </c>
      <c r="K12" s="305" t="s">
        <v>306</v>
      </c>
    </row>
    <row r="13" spans="1:11" ht="12.75">
      <c r="A13" s="303" t="s">
        <v>317</v>
      </c>
      <c r="B13" s="306" t="s">
        <v>318</v>
      </c>
      <c r="C13" s="305"/>
      <c r="D13" s="305"/>
      <c r="E13" s="305" t="s">
        <v>306</v>
      </c>
      <c r="F13" s="305" t="s">
        <v>306</v>
      </c>
      <c r="G13" s="305"/>
      <c r="H13" s="305"/>
      <c r="I13" s="305" t="s">
        <v>306</v>
      </c>
      <c r="J13" s="305" t="s">
        <v>306</v>
      </c>
      <c r="K13" s="305" t="s">
        <v>306</v>
      </c>
    </row>
    <row r="14" spans="1:11" ht="12.75">
      <c r="A14" s="303"/>
      <c r="B14" s="306" t="s">
        <v>319</v>
      </c>
      <c r="C14" s="305"/>
      <c r="D14" s="305"/>
      <c r="E14" s="305" t="s">
        <v>306</v>
      </c>
      <c r="F14" s="305" t="s">
        <v>306</v>
      </c>
      <c r="G14" s="305"/>
      <c r="H14" s="305"/>
      <c r="I14" s="305" t="s">
        <v>306</v>
      </c>
      <c r="J14" s="305" t="s">
        <v>306</v>
      </c>
      <c r="K14" s="305" t="s">
        <v>306</v>
      </c>
    </row>
    <row r="15" spans="1:11" ht="12.75">
      <c r="A15" s="303" t="s">
        <v>320</v>
      </c>
      <c r="B15" s="306" t="s">
        <v>321</v>
      </c>
      <c r="C15" s="305" t="s">
        <v>306</v>
      </c>
      <c r="D15" s="305"/>
      <c r="E15" s="305" t="s">
        <v>306</v>
      </c>
      <c r="F15" s="305" t="s">
        <v>306</v>
      </c>
      <c r="G15" s="305"/>
      <c r="H15" s="305"/>
      <c r="I15" s="305" t="s">
        <v>306</v>
      </c>
      <c r="J15" s="305" t="s">
        <v>306</v>
      </c>
      <c r="K15" s="305" t="s">
        <v>306</v>
      </c>
    </row>
    <row r="16" spans="1:11" ht="12.75">
      <c r="A16" s="303"/>
      <c r="B16" s="306" t="s">
        <v>322</v>
      </c>
      <c r="C16" s="305" t="s">
        <v>306</v>
      </c>
      <c r="D16" s="305"/>
      <c r="E16" s="305" t="s">
        <v>306</v>
      </c>
      <c r="F16" s="305" t="s">
        <v>306</v>
      </c>
      <c r="G16" s="305"/>
      <c r="H16" s="305"/>
      <c r="I16" s="305" t="s">
        <v>306</v>
      </c>
      <c r="J16" s="305" t="s">
        <v>306</v>
      </c>
      <c r="K16" s="305" t="s">
        <v>306</v>
      </c>
    </row>
    <row r="17" spans="1:11" ht="12.75">
      <c r="A17" s="303"/>
      <c r="B17" s="306" t="s">
        <v>323</v>
      </c>
      <c r="C17" s="305" t="s">
        <v>306</v>
      </c>
      <c r="D17" s="305"/>
      <c r="E17" s="305" t="s">
        <v>306</v>
      </c>
      <c r="F17" s="305" t="s">
        <v>306</v>
      </c>
      <c r="G17" s="305"/>
      <c r="H17" s="305"/>
      <c r="I17" s="305" t="s">
        <v>306</v>
      </c>
      <c r="J17" s="305" t="s">
        <v>306</v>
      </c>
      <c r="K17" s="305" t="s">
        <v>306</v>
      </c>
    </row>
    <row r="18" spans="1:11" ht="12.75">
      <c r="A18" s="303"/>
      <c r="B18" s="306" t="s">
        <v>324</v>
      </c>
      <c r="C18" s="305" t="s">
        <v>306</v>
      </c>
      <c r="D18" s="305"/>
      <c r="E18" s="305" t="s">
        <v>306</v>
      </c>
      <c r="F18" s="305" t="s">
        <v>306</v>
      </c>
      <c r="G18" s="305"/>
      <c r="H18" s="305"/>
      <c r="I18" s="305" t="s">
        <v>306</v>
      </c>
      <c r="J18" s="305" t="s">
        <v>306</v>
      </c>
      <c r="K18" s="305" t="s">
        <v>306</v>
      </c>
    </row>
    <row r="19" spans="1:11" ht="12.75" customHeight="1">
      <c r="A19" s="307" t="s">
        <v>325</v>
      </c>
      <c r="B19" s="306" t="s">
        <v>322</v>
      </c>
      <c r="C19" s="305"/>
      <c r="D19" s="305"/>
      <c r="E19" s="305" t="s">
        <v>306</v>
      </c>
      <c r="F19" s="305"/>
      <c r="G19" s="305"/>
      <c r="H19" s="305"/>
      <c r="I19" s="305" t="s">
        <v>306</v>
      </c>
      <c r="J19" s="305" t="s">
        <v>306</v>
      </c>
      <c r="K19" s="305" t="s">
        <v>306</v>
      </c>
    </row>
    <row r="20" spans="1:11" ht="12.75">
      <c r="A20" s="303" t="s">
        <v>326</v>
      </c>
      <c r="B20" s="306" t="s">
        <v>327</v>
      </c>
      <c r="C20" s="305"/>
      <c r="D20" s="305" t="s">
        <v>306</v>
      </c>
      <c r="E20" s="305"/>
      <c r="F20" s="305" t="s">
        <v>306</v>
      </c>
      <c r="G20" s="305"/>
      <c r="H20" s="305" t="s">
        <v>306</v>
      </c>
      <c r="I20" s="305" t="s">
        <v>306</v>
      </c>
      <c r="J20" s="305" t="s">
        <v>306</v>
      </c>
      <c r="K20" s="305"/>
    </row>
    <row r="21" spans="1:11" ht="12.75">
      <c r="A21" s="303"/>
      <c r="B21" s="306" t="s">
        <v>328</v>
      </c>
      <c r="C21" s="305"/>
      <c r="D21" s="305" t="s">
        <v>306</v>
      </c>
      <c r="E21" s="305"/>
      <c r="F21" s="305" t="s">
        <v>306</v>
      </c>
      <c r="G21" s="305"/>
      <c r="H21" s="305" t="s">
        <v>306</v>
      </c>
      <c r="I21" s="305" t="s">
        <v>306</v>
      </c>
      <c r="J21" s="305" t="s">
        <v>306</v>
      </c>
      <c r="K21" s="305"/>
    </row>
    <row r="22" spans="1:11" ht="12.75">
      <c r="A22" s="303"/>
      <c r="B22" s="306" t="s">
        <v>329</v>
      </c>
      <c r="C22" s="305"/>
      <c r="D22" s="305" t="s">
        <v>306</v>
      </c>
      <c r="E22" s="305"/>
      <c r="F22" s="305" t="s">
        <v>306</v>
      </c>
      <c r="G22" s="305"/>
      <c r="H22" s="305" t="s">
        <v>306</v>
      </c>
      <c r="I22" s="305" t="s">
        <v>306</v>
      </c>
      <c r="J22" s="305" t="s">
        <v>306</v>
      </c>
      <c r="K22" s="305"/>
    </row>
    <row r="23" spans="1:11" ht="12.75">
      <c r="A23" s="303" t="s">
        <v>330</v>
      </c>
      <c r="B23" s="306" t="s">
        <v>331</v>
      </c>
      <c r="C23" s="305"/>
      <c r="D23" s="305" t="s">
        <v>306</v>
      </c>
      <c r="E23" s="305" t="s">
        <v>306</v>
      </c>
      <c r="F23" s="305"/>
      <c r="G23" s="305"/>
      <c r="H23" s="305" t="s">
        <v>306</v>
      </c>
      <c r="I23" s="305" t="s">
        <v>306</v>
      </c>
      <c r="J23" s="305" t="s">
        <v>306</v>
      </c>
      <c r="K23" s="305"/>
    </row>
    <row r="24" spans="1:11" ht="12.75">
      <c r="A24" s="303"/>
      <c r="B24" s="306" t="s">
        <v>332</v>
      </c>
      <c r="C24" s="305"/>
      <c r="D24" s="305" t="s">
        <v>306</v>
      </c>
      <c r="E24" s="305" t="s">
        <v>306</v>
      </c>
      <c r="F24" s="305"/>
      <c r="G24" s="305"/>
      <c r="H24" s="305" t="s">
        <v>306</v>
      </c>
      <c r="I24" s="305" t="s">
        <v>306</v>
      </c>
      <c r="J24" s="305" t="s">
        <v>306</v>
      </c>
      <c r="K24" s="305"/>
    </row>
    <row r="25" spans="1:11" ht="12.75">
      <c r="A25" s="303"/>
      <c r="B25" s="306" t="s">
        <v>333</v>
      </c>
      <c r="C25" s="305"/>
      <c r="D25" s="305" t="s">
        <v>306</v>
      </c>
      <c r="E25" s="305" t="s">
        <v>306</v>
      </c>
      <c r="F25" s="305"/>
      <c r="G25" s="305"/>
      <c r="H25" s="305" t="s">
        <v>306</v>
      </c>
      <c r="I25" s="305" t="s">
        <v>306</v>
      </c>
      <c r="J25" s="305" t="s">
        <v>306</v>
      </c>
      <c r="K25" s="305"/>
    </row>
    <row r="26" spans="1:11" ht="12.75">
      <c r="A26" s="303"/>
      <c r="B26" s="306" t="s">
        <v>334</v>
      </c>
      <c r="C26" s="305"/>
      <c r="D26" s="305" t="s">
        <v>306</v>
      </c>
      <c r="E26" s="305" t="s">
        <v>306</v>
      </c>
      <c r="F26" s="305"/>
      <c r="G26" s="305"/>
      <c r="H26" s="305" t="s">
        <v>306</v>
      </c>
      <c r="I26" s="305" t="s">
        <v>306</v>
      </c>
      <c r="J26" s="305" t="s">
        <v>306</v>
      </c>
      <c r="K26" s="305"/>
    </row>
    <row r="27" spans="1:11" ht="12.75">
      <c r="A27" s="303"/>
      <c r="B27" s="306" t="s">
        <v>335</v>
      </c>
      <c r="C27" s="305"/>
      <c r="D27" s="305" t="s">
        <v>306</v>
      </c>
      <c r="E27" s="305" t="s">
        <v>306</v>
      </c>
      <c r="F27" s="305"/>
      <c r="G27" s="305"/>
      <c r="H27" s="305" t="s">
        <v>306</v>
      </c>
      <c r="I27" s="305" t="s">
        <v>306</v>
      </c>
      <c r="J27" s="305" t="s">
        <v>306</v>
      </c>
      <c r="K27" s="305"/>
    </row>
    <row r="28" spans="1:11" ht="12.75">
      <c r="A28" s="303" t="s">
        <v>336</v>
      </c>
      <c r="B28" s="306" t="s">
        <v>337</v>
      </c>
      <c r="C28" s="305"/>
      <c r="D28" s="305"/>
      <c r="E28" s="305" t="s">
        <v>306</v>
      </c>
      <c r="F28" s="305" t="s">
        <v>306</v>
      </c>
      <c r="G28" s="305"/>
      <c r="H28" s="305" t="s">
        <v>306</v>
      </c>
      <c r="I28" s="305" t="s">
        <v>306</v>
      </c>
      <c r="J28" s="305"/>
      <c r="K28" s="305" t="s">
        <v>306</v>
      </c>
    </row>
    <row r="29" spans="1:11" ht="12.75">
      <c r="A29" s="303"/>
      <c r="B29" s="306" t="s">
        <v>338</v>
      </c>
      <c r="C29" s="305"/>
      <c r="D29" s="305"/>
      <c r="E29" s="305" t="s">
        <v>306</v>
      </c>
      <c r="F29" s="305" t="s">
        <v>306</v>
      </c>
      <c r="G29" s="305"/>
      <c r="H29" s="305" t="s">
        <v>306</v>
      </c>
      <c r="I29" s="305" t="s">
        <v>306</v>
      </c>
      <c r="J29" s="305"/>
      <c r="K29" s="305" t="s">
        <v>306</v>
      </c>
    </row>
    <row r="30" spans="1:11" ht="12.75">
      <c r="A30" s="303"/>
      <c r="B30" s="306" t="s">
        <v>339</v>
      </c>
      <c r="C30" s="305"/>
      <c r="D30" s="305"/>
      <c r="E30" s="305" t="s">
        <v>306</v>
      </c>
      <c r="F30" s="305" t="s">
        <v>306</v>
      </c>
      <c r="G30" s="305"/>
      <c r="H30" s="305" t="s">
        <v>306</v>
      </c>
      <c r="I30" s="305" t="s">
        <v>306</v>
      </c>
      <c r="J30" s="305"/>
      <c r="K30" s="305" t="s">
        <v>306</v>
      </c>
    </row>
    <row r="31" spans="1:11" ht="12.75">
      <c r="A31" s="303"/>
      <c r="B31" s="306" t="s">
        <v>340</v>
      </c>
      <c r="C31" s="305"/>
      <c r="D31" s="305"/>
      <c r="E31" s="305" t="s">
        <v>306</v>
      </c>
      <c r="F31" s="305" t="s">
        <v>306</v>
      </c>
      <c r="G31" s="305"/>
      <c r="H31" s="305" t="s">
        <v>306</v>
      </c>
      <c r="I31" s="305" t="s">
        <v>306</v>
      </c>
      <c r="J31" s="305"/>
      <c r="K31" s="305" t="s">
        <v>306</v>
      </c>
    </row>
    <row r="32" spans="1:11" ht="12.75">
      <c r="A32" s="303"/>
      <c r="B32" s="306" t="s">
        <v>341</v>
      </c>
      <c r="C32" s="305"/>
      <c r="D32" s="305"/>
      <c r="E32" s="305" t="s">
        <v>306</v>
      </c>
      <c r="F32" s="305" t="s">
        <v>306</v>
      </c>
      <c r="G32" s="305"/>
      <c r="H32" s="305" t="s">
        <v>306</v>
      </c>
      <c r="I32" s="305" t="s">
        <v>306</v>
      </c>
      <c r="J32" s="305"/>
      <c r="K32" s="305" t="s">
        <v>306</v>
      </c>
    </row>
    <row r="33" spans="1:11" ht="12.75">
      <c r="A33" s="303"/>
      <c r="B33" s="306" t="s">
        <v>342</v>
      </c>
      <c r="C33" s="305"/>
      <c r="D33" s="305"/>
      <c r="E33" s="305" t="s">
        <v>306</v>
      </c>
      <c r="F33" s="305" t="s">
        <v>306</v>
      </c>
      <c r="G33" s="305"/>
      <c r="H33" s="305" t="s">
        <v>306</v>
      </c>
      <c r="I33" s="305" t="s">
        <v>306</v>
      </c>
      <c r="J33" s="305"/>
      <c r="K33" s="305" t="s">
        <v>306</v>
      </c>
    </row>
    <row r="34" spans="1:11" ht="12.75">
      <c r="A34" s="303"/>
      <c r="B34" s="306" t="s">
        <v>343</v>
      </c>
      <c r="C34" s="305"/>
      <c r="D34" s="305"/>
      <c r="E34" s="305" t="s">
        <v>306</v>
      </c>
      <c r="F34" s="305" t="s">
        <v>306</v>
      </c>
      <c r="G34" s="305"/>
      <c r="H34" s="305" t="s">
        <v>306</v>
      </c>
      <c r="I34" s="305" t="s">
        <v>306</v>
      </c>
      <c r="J34" s="305"/>
      <c r="K34" s="305" t="s">
        <v>306</v>
      </c>
    </row>
    <row r="35" spans="1:11" ht="12.75">
      <c r="A35" s="303" t="s">
        <v>344</v>
      </c>
      <c r="B35" s="306" t="s">
        <v>345</v>
      </c>
      <c r="C35" s="305"/>
      <c r="D35" s="305"/>
      <c r="E35" s="305" t="s">
        <v>306</v>
      </c>
      <c r="F35" s="305" t="s">
        <v>306</v>
      </c>
      <c r="G35" s="305"/>
      <c r="H35" s="305" t="s">
        <v>306</v>
      </c>
      <c r="I35" s="305"/>
      <c r="J35" s="305"/>
      <c r="K35" s="305"/>
    </row>
    <row r="36" spans="1:11" ht="12.75">
      <c r="A36" s="303"/>
      <c r="B36" s="306" t="s">
        <v>310</v>
      </c>
      <c r="C36" s="305"/>
      <c r="D36" s="305"/>
      <c r="E36" s="305" t="s">
        <v>306</v>
      </c>
      <c r="F36" s="305" t="s">
        <v>306</v>
      </c>
      <c r="G36" s="305"/>
      <c r="H36" s="305" t="s">
        <v>306</v>
      </c>
      <c r="I36" s="305"/>
      <c r="J36" s="305"/>
      <c r="K36" s="305"/>
    </row>
    <row r="37" spans="1:11" ht="12.75">
      <c r="A37" s="303" t="s">
        <v>346</v>
      </c>
      <c r="B37" s="306" t="s">
        <v>347</v>
      </c>
      <c r="C37" s="305"/>
      <c r="D37" s="305" t="s">
        <v>306</v>
      </c>
      <c r="E37" s="305" t="s">
        <v>306</v>
      </c>
      <c r="F37" s="305" t="s">
        <v>306</v>
      </c>
      <c r="G37" s="305" t="s">
        <v>306</v>
      </c>
      <c r="H37" s="305"/>
      <c r="I37" s="305"/>
      <c r="J37" s="305" t="s">
        <v>306</v>
      </c>
      <c r="K37" s="305" t="s">
        <v>306</v>
      </c>
    </row>
    <row r="38" spans="1:11" ht="12.75">
      <c r="A38" s="303"/>
      <c r="B38" s="306" t="s">
        <v>348</v>
      </c>
      <c r="C38" s="305"/>
      <c r="D38" s="305" t="s">
        <v>306</v>
      </c>
      <c r="E38" s="305" t="s">
        <v>306</v>
      </c>
      <c r="F38" s="305" t="s">
        <v>306</v>
      </c>
      <c r="G38" s="305" t="s">
        <v>306</v>
      </c>
      <c r="H38" s="305"/>
      <c r="I38" s="305"/>
      <c r="J38" s="305" t="s">
        <v>306</v>
      </c>
      <c r="K38" s="305" t="s">
        <v>306</v>
      </c>
    </row>
    <row r="39" spans="1:11" ht="12.75">
      <c r="A39" s="303"/>
      <c r="B39" s="306" t="s">
        <v>349</v>
      </c>
      <c r="C39" s="305"/>
      <c r="D39" s="305" t="s">
        <v>306</v>
      </c>
      <c r="E39" s="305" t="s">
        <v>306</v>
      </c>
      <c r="F39" s="305" t="s">
        <v>306</v>
      </c>
      <c r="G39" s="305" t="s">
        <v>306</v>
      </c>
      <c r="H39" s="305"/>
      <c r="I39" s="305"/>
      <c r="J39" s="305" t="s">
        <v>306</v>
      </c>
      <c r="K39" s="305" t="s">
        <v>306</v>
      </c>
    </row>
    <row r="40" spans="1:11" ht="12.75">
      <c r="A40" s="303"/>
      <c r="B40" s="306" t="s">
        <v>350</v>
      </c>
      <c r="C40" s="305"/>
      <c r="D40" s="305" t="s">
        <v>306</v>
      </c>
      <c r="E40" s="305" t="s">
        <v>306</v>
      </c>
      <c r="F40" s="305" t="s">
        <v>306</v>
      </c>
      <c r="G40" s="305" t="s">
        <v>306</v>
      </c>
      <c r="H40" s="305"/>
      <c r="I40" s="305"/>
      <c r="J40" s="305" t="s">
        <v>306</v>
      </c>
      <c r="K40" s="305" t="s">
        <v>306</v>
      </c>
    </row>
    <row r="41" spans="1:11" ht="12.75">
      <c r="A41" s="303" t="s">
        <v>351</v>
      </c>
      <c r="B41" s="306" t="s">
        <v>352</v>
      </c>
      <c r="C41" s="305"/>
      <c r="D41" s="305" t="s">
        <v>306</v>
      </c>
      <c r="E41" s="305" t="s">
        <v>306</v>
      </c>
      <c r="F41" s="305" t="s">
        <v>306</v>
      </c>
      <c r="G41" s="305" t="s">
        <v>306</v>
      </c>
      <c r="H41" s="305"/>
      <c r="I41" s="305"/>
      <c r="J41" s="305" t="s">
        <v>306</v>
      </c>
      <c r="K41" s="305" t="s">
        <v>306</v>
      </c>
    </row>
    <row r="42" spans="1:11" ht="12.75">
      <c r="A42" s="303"/>
      <c r="B42" s="306" t="s">
        <v>353</v>
      </c>
      <c r="C42" s="305"/>
      <c r="D42" s="305" t="s">
        <v>306</v>
      </c>
      <c r="E42" s="305" t="s">
        <v>306</v>
      </c>
      <c r="F42" s="305" t="s">
        <v>306</v>
      </c>
      <c r="G42" s="305" t="s">
        <v>306</v>
      </c>
      <c r="H42" s="305"/>
      <c r="I42" s="305"/>
      <c r="J42" s="305" t="s">
        <v>306</v>
      </c>
      <c r="K42" s="305" t="s">
        <v>306</v>
      </c>
    </row>
    <row r="43" spans="1:11" ht="12.75">
      <c r="A43" s="303" t="s">
        <v>354</v>
      </c>
      <c r="B43" s="306" t="s">
        <v>355</v>
      </c>
      <c r="C43" s="305"/>
      <c r="D43" s="305" t="s">
        <v>306</v>
      </c>
      <c r="E43" s="305" t="s">
        <v>306</v>
      </c>
      <c r="F43" s="305"/>
      <c r="G43" s="305" t="s">
        <v>306</v>
      </c>
      <c r="H43" s="305"/>
      <c r="I43" s="305"/>
      <c r="J43" s="305" t="s">
        <v>306</v>
      </c>
      <c r="K43" s="305" t="s">
        <v>306</v>
      </c>
    </row>
    <row r="44" spans="1:11" ht="12.75">
      <c r="A44" s="303"/>
      <c r="B44" s="306" t="s">
        <v>356</v>
      </c>
      <c r="C44" s="305"/>
      <c r="D44" s="305" t="s">
        <v>306</v>
      </c>
      <c r="E44" s="305" t="s">
        <v>306</v>
      </c>
      <c r="F44" s="305"/>
      <c r="G44" s="305" t="s">
        <v>306</v>
      </c>
      <c r="H44" s="305"/>
      <c r="I44" s="305"/>
      <c r="J44" s="305" t="s">
        <v>306</v>
      </c>
      <c r="K44" s="305" t="s">
        <v>306</v>
      </c>
    </row>
    <row r="45" spans="1:11" ht="12.75">
      <c r="A45" s="303"/>
      <c r="B45" s="306" t="s">
        <v>357</v>
      </c>
      <c r="C45" s="305"/>
      <c r="D45" s="305" t="s">
        <v>306</v>
      </c>
      <c r="E45" s="305" t="s">
        <v>306</v>
      </c>
      <c r="F45" s="305"/>
      <c r="G45" s="305" t="s">
        <v>306</v>
      </c>
      <c r="H45" s="305"/>
      <c r="I45" s="305"/>
      <c r="J45" s="305" t="s">
        <v>306</v>
      </c>
      <c r="K45" s="305" t="s">
        <v>306</v>
      </c>
    </row>
    <row r="46" spans="1:11" ht="12.75">
      <c r="A46" s="303"/>
      <c r="B46" s="306" t="s">
        <v>358</v>
      </c>
      <c r="C46" s="305"/>
      <c r="D46" s="305" t="s">
        <v>306</v>
      </c>
      <c r="E46" s="305" t="s">
        <v>306</v>
      </c>
      <c r="F46" s="305"/>
      <c r="G46" s="305" t="s">
        <v>306</v>
      </c>
      <c r="H46" s="305"/>
      <c r="I46" s="305"/>
      <c r="J46" s="305" t="s">
        <v>306</v>
      </c>
      <c r="K46" s="305" t="s">
        <v>306</v>
      </c>
    </row>
    <row r="47" spans="1:11" ht="12.75">
      <c r="A47" s="303"/>
      <c r="B47" s="306" t="s">
        <v>359</v>
      </c>
      <c r="C47" s="305"/>
      <c r="D47" s="305" t="s">
        <v>306</v>
      </c>
      <c r="E47" s="305" t="s">
        <v>306</v>
      </c>
      <c r="F47" s="305"/>
      <c r="G47" s="305" t="s">
        <v>306</v>
      </c>
      <c r="H47" s="305"/>
      <c r="I47" s="305"/>
      <c r="J47" s="305" t="s">
        <v>306</v>
      </c>
      <c r="K47" s="305" t="s">
        <v>306</v>
      </c>
    </row>
    <row r="48" spans="1:11" ht="12.75">
      <c r="A48" s="303"/>
      <c r="B48" s="306" t="s">
        <v>360</v>
      </c>
      <c r="C48" s="305"/>
      <c r="D48" s="305" t="s">
        <v>306</v>
      </c>
      <c r="E48" s="305" t="s">
        <v>306</v>
      </c>
      <c r="F48" s="305"/>
      <c r="G48" s="305" t="s">
        <v>306</v>
      </c>
      <c r="H48" s="305"/>
      <c r="I48" s="305"/>
      <c r="J48" s="305" t="s">
        <v>306</v>
      </c>
      <c r="K48" s="305" t="s">
        <v>306</v>
      </c>
    </row>
    <row r="49" spans="1:11" ht="12.75">
      <c r="A49" s="303" t="s">
        <v>361</v>
      </c>
      <c r="B49" s="306" t="s">
        <v>362</v>
      </c>
      <c r="C49" s="305"/>
      <c r="D49" s="305"/>
      <c r="E49" s="305" t="s">
        <v>306</v>
      </c>
      <c r="F49" s="305"/>
      <c r="G49" s="305" t="s">
        <v>306</v>
      </c>
      <c r="H49" s="305"/>
      <c r="I49" s="305"/>
      <c r="J49" s="305" t="s">
        <v>306</v>
      </c>
      <c r="K49" s="305" t="s">
        <v>306</v>
      </c>
    </row>
    <row r="50" spans="1:11" ht="12.75">
      <c r="A50" s="303"/>
      <c r="B50" s="306" t="s">
        <v>363</v>
      </c>
      <c r="C50" s="305"/>
      <c r="D50" s="305"/>
      <c r="E50" s="305" t="s">
        <v>306</v>
      </c>
      <c r="F50" s="305"/>
      <c r="G50" s="305" t="s">
        <v>306</v>
      </c>
      <c r="H50" s="305"/>
      <c r="I50" s="305"/>
      <c r="J50" s="305" t="s">
        <v>306</v>
      </c>
      <c r="K50" s="305" t="s">
        <v>306</v>
      </c>
    </row>
    <row r="51" spans="1:11" ht="12.75">
      <c r="A51" s="303"/>
      <c r="B51" s="306" t="s">
        <v>364</v>
      </c>
      <c r="C51" s="305"/>
      <c r="D51" s="305"/>
      <c r="E51" s="305" t="s">
        <v>306</v>
      </c>
      <c r="F51" s="305"/>
      <c r="G51" s="305" t="s">
        <v>306</v>
      </c>
      <c r="H51" s="305"/>
      <c r="I51" s="305"/>
      <c r="J51" s="305" t="s">
        <v>306</v>
      </c>
      <c r="K51" s="305" t="s">
        <v>306</v>
      </c>
    </row>
    <row r="52" spans="1:11" ht="12.75">
      <c r="A52" s="303"/>
      <c r="B52" s="306" t="s">
        <v>365</v>
      </c>
      <c r="C52" s="305"/>
      <c r="D52" s="305"/>
      <c r="E52" s="305" t="s">
        <v>306</v>
      </c>
      <c r="F52" s="305"/>
      <c r="G52" s="305" t="s">
        <v>306</v>
      </c>
      <c r="H52" s="305"/>
      <c r="I52" s="305"/>
      <c r="J52" s="305" t="s">
        <v>306</v>
      </c>
      <c r="K52" s="305" t="s">
        <v>306</v>
      </c>
    </row>
    <row r="53" spans="1:11" ht="12.75">
      <c r="A53" s="303"/>
      <c r="B53" s="306" t="s">
        <v>366</v>
      </c>
      <c r="C53" s="305"/>
      <c r="D53" s="305"/>
      <c r="E53" s="305" t="s">
        <v>306</v>
      </c>
      <c r="F53" s="305"/>
      <c r="G53" s="305" t="s">
        <v>306</v>
      </c>
      <c r="H53" s="305"/>
      <c r="I53" s="305"/>
      <c r="J53" s="305" t="s">
        <v>306</v>
      </c>
      <c r="K53" s="305" t="s">
        <v>306</v>
      </c>
    </row>
    <row r="58" spans="2:11" ht="15">
      <c r="B58" s="309" t="s">
        <v>367</v>
      </c>
      <c r="C58" s="309"/>
      <c r="D58" s="309"/>
      <c r="E58" s="309"/>
      <c r="F58" s="309"/>
      <c r="G58" s="309"/>
      <c r="H58" s="309"/>
      <c r="I58" s="309"/>
      <c r="J58" s="309"/>
      <c r="K58" s="309"/>
    </row>
    <row r="59" spans="2:11" ht="15">
      <c r="B59" s="309" t="s">
        <v>368</v>
      </c>
      <c r="C59" s="309"/>
      <c r="D59" s="309"/>
      <c r="E59" s="309"/>
      <c r="F59" s="309"/>
      <c r="G59" s="309"/>
      <c r="H59" s="309"/>
      <c r="I59" s="309"/>
      <c r="J59" s="309"/>
      <c r="K59" s="309"/>
    </row>
    <row r="60" spans="2:11" ht="15">
      <c r="B60" s="309" t="s">
        <v>369</v>
      </c>
      <c r="C60" s="309"/>
      <c r="D60" s="309"/>
      <c r="E60" s="309"/>
      <c r="F60" s="309"/>
      <c r="G60" s="309"/>
      <c r="H60" s="309"/>
      <c r="I60" s="309"/>
      <c r="J60" s="309"/>
      <c r="K60" s="309"/>
    </row>
    <row r="61" spans="2:11" ht="15">
      <c r="B61" s="309" t="s">
        <v>370</v>
      </c>
      <c r="C61" s="309"/>
      <c r="D61" s="309"/>
      <c r="E61" s="309"/>
      <c r="F61" s="309"/>
      <c r="G61" s="309"/>
      <c r="H61" s="309"/>
      <c r="I61" s="309"/>
      <c r="J61" s="309"/>
      <c r="K61" s="309"/>
    </row>
    <row r="62" spans="2:11" ht="15">
      <c r="B62" s="309" t="s">
        <v>371</v>
      </c>
      <c r="C62" s="309"/>
      <c r="D62" s="309"/>
      <c r="E62" s="309"/>
      <c r="F62" s="309"/>
      <c r="G62" s="309"/>
      <c r="H62" s="309"/>
      <c r="I62" s="309"/>
      <c r="J62" s="309"/>
      <c r="K62" s="309"/>
    </row>
    <row r="63" spans="2:11" ht="15">
      <c r="B63" s="309" t="s">
        <v>372</v>
      </c>
      <c r="C63" s="309"/>
      <c r="D63" s="309"/>
      <c r="E63" s="309"/>
      <c r="F63" s="309"/>
      <c r="G63" s="309"/>
      <c r="H63" s="309"/>
      <c r="I63" s="309"/>
      <c r="J63" s="309"/>
      <c r="K63" s="309"/>
    </row>
    <row r="64" spans="2:11" ht="15">
      <c r="B64" s="309" t="s">
        <v>373</v>
      </c>
      <c r="C64" s="309"/>
      <c r="D64" s="309"/>
      <c r="E64" s="309"/>
      <c r="F64" s="309"/>
      <c r="G64" s="309"/>
      <c r="H64" s="309"/>
      <c r="I64" s="309"/>
      <c r="J64" s="309"/>
      <c r="K64" s="309"/>
    </row>
    <row r="65" spans="2:11" ht="15">
      <c r="B65" s="309" t="s">
        <v>374</v>
      </c>
      <c r="C65" s="309"/>
      <c r="D65" s="309"/>
      <c r="E65" s="309"/>
      <c r="F65" s="309"/>
      <c r="G65" s="309"/>
      <c r="H65" s="309"/>
      <c r="I65" s="309"/>
      <c r="J65" s="309"/>
      <c r="K65" s="309"/>
    </row>
    <row r="66" spans="2:11" ht="15">
      <c r="B66" s="309" t="s">
        <v>375</v>
      </c>
      <c r="C66" s="309"/>
      <c r="D66" s="309"/>
      <c r="E66" s="309"/>
      <c r="F66" s="309"/>
      <c r="G66" s="309"/>
      <c r="H66" s="309"/>
      <c r="I66" s="309"/>
      <c r="J66" s="309"/>
      <c r="K66" s="309"/>
    </row>
  </sheetData>
  <mergeCells count="31">
    <mergeCell ref="B66:K66"/>
    <mergeCell ref="B62:K62"/>
    <mergeCell ref="B63:K63"/>
    <mergeCell ref="B64:K64"/>
    <mergeCell ref="B65:K65"/>
    <mergeCell ref="B58:K58"/>
    <mergeCell ref="B59:K59"/>
    <mergeCell ref="B60:K60"/>
    <mergeCell ref="B61:K61"/>
    <mergeCell ref="A20:A22"/>
    <mergeCell ref="A23:A27"/>
    <mergeCell ref="A28:A34"/>
    <mergeCell ref="A35:A36"/>
    <mergeCell ref="A43:A48"/>
    <mergeCell ref="A49:A53"/>
    <mergeCell ref="C1:C2"/>
    <mergeCell ref="D1:D2"/>
    <mergeCell ref="A3:A8"/>
    <mergeCell ref="A9:A12"/>
    <mergeCell ref="A13:A14"/>
    <mergeCell ref="A15:A18"/>
    <mergeCell ref="A37:A40"/>
    <mergeCell ref="A41:A42"/>
    <mergeCell ref="I1:I2"/>
    <mergeCell ref="J1:J2"/>
    <mergeCell ref="K1:K2"/>
    <mergeCell ref="A1:A2"/>
    <mergeCell ref="E1:E2"/>
    <mergeCell ref="F1:F2"/>
    <mergeCell ref="G1:G2"/>
    <mergeCell ref="H1:H2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Acque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stagista</dc:creator>
  <cp:keywords/>
  <dc:description/>
  <cp:lastModifiedBy> Riccardo</cp:lastModifiedBy>
  <cp:lastPrinted>2006-02-10T16:04:30Z</cp:lastPrinted>
  <dcterms:created xsi:type="dcterms:W3CDTF">2005-10-17T13:02:51Z</dcterms:created>
  <dcterms:modified xsi:type="dcterms:W3CDTF">2006-02-20T18:07:24Z</dcterms:modified>
  <cp:category/>
  <cp:version/>
  <cp:contentType/>
  <cp:contentStatus/>
</cp:coreProperties>
</file>